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60" yWindow="-60" windowWidth="15480" windowHeight="11640" activeTab="2"/>
  </bookViews>
  <sheets>
    <sheet name="ПОЧЕТНА" sheetId="1" r:id="rId1"/>
    <sheet name="ПРИХОДИ" sheetId="2" r:id="rId2"/>
    <sheet name="РАСХОДИ" sheetId="3" r:id="rId3"/>
    <sheet name="izmena" sheetId="4" r:id="rId4"/>
  </sheets>
  <definedNames>
    <definedName name="_xlnm.Print_Area" localSheetId="2">РАСХОДИ!$A$1:$L$156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3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18"/>
  <c r="H32"/>
  <c r="G36" l="1"/>
  <c r="H31"/>
  <c r="J20" i="2"/>
  <c r="H47" i="3"/>
  <c r="J47"/>
  <c r="D47"/>
  <c r="H48"/>
  <c r="H44"/>
  <c r="J67"/>
  <c r="J57"/>
  <c r="H55"/>
  <c r="H54"/>
  <c r="H52"/>
  <c r="H51"/>
  <c r="I38"/>
  <c r="I42"/>
  <c r="F69"/>
  <c r="F48"/>
  <c r="F40"/>
  <c r="H40"/>
  <c r="H39"/>
  <c r="H41"/>
  <c r="J40"/>
  <c r="J41"/>
  <c r="H30"/>
  <c r="H29"/>
  <c r="J28"/>
  <c r="H28"/>
  <c r="H26"/>
  <c r="H27"/>
  <c r="D27"/>
  <c r="H25"/>
  <c r="H24"/>
  <c r="J20"/>
  <c r="H20"/>
  <c r="J19"/>
  <c r="H19"/>
  <c r="J18"/>
  <c r="H18"/>
  <c r="H24" i="2"/>
  <c r="J22"/>
  <c r="D22"/>
  <c r="H53" i="3"/>
  <c r="F25" i="2"/>
  <c r="F63" i="3"/>
  <c r="F55"/>
  <c r="F65"/>
  <c r="F67"/>
  <c r="F72"/>
  <c r="F26" i="2"/>
  <c r="H49" i="3"/>
  <c r="H37"/>
  <c r="D53"/>
  <c r="H26" i="2"/>
  <c r="J54" i="3"/>
  <c r="J48"/>
  <c r="J46"/>
  <c r="J38"/>
  <c r="J30"/>
  <c r="E48"/>
  <c r="D48"/>
  <c r="C5"/>
  <c r="C5" i="2"/>
  <c r="J69" i="3"/>
  <c r="D69"/>
  <c r="E72"/>
  <c r="D63"/>
  <c r="J72"/>
  <c r="D54"/>
  <c r="E25" i="2"/>
  <c r="D57" i="3"/>
  <c r="D40"/>
  <c r="D66"/>
  <c r="D25"/>
  <c r="D19" i="2"/>
  <c r="D68" i="3"/>
  <c r="D20" i="2"/>
  <c r="G26"/>
  <c r="D71" i="3"/>
  <c r="D70"/>
  <c r="D65"/>
  <c r="D64"/>
  <c r="D62"/>
  <c r="D61"/>
  <c r="D60"/>
  <c r="D59"/>
  <c r="D58"/>
  <c r="D56"/>
  <c r="D52"/>
  <c r="D51"/>
  <c r="D50"/>
  <c r="D49"/>
  <c r="D46"/>
  <c r="D45"/>
  <c r="D44"/>
  <c r="D43"/>
  <c r="D42"/>
  <c r="D41"/>
  <c r="D39"/>
  <c r="D38"/>
  <c r="D37"/>
  <c r="D36"/>
  <c r="D35"/>
  <c r="D34"/>
  <c r="D33"/>
  <c r="D32"/>
  <c r="D31"/>
  <c r="D30"/>
  <c r="D29"/>
  <c r="D28"/>
  <c r="D26"/>
  <c r="D24"/>
  <c r="D23"/>
  <c r="D22"/>
  <c r="D21"/>
  <c r="D20"/>
  <c r="D19"/>
  <c r="D72" s="1"/>
  <c r="I26" i="2"/>
  <c r="E26"/>
  <c r="K26"/>
  <c r="D23"/>
  <c r="J26"/>
  <c r="D26"/>
  <c r="D21"/>
  <c r="D18"/>
  <c r="K72" i="3"/>
  <c r="G72"/>
  <c r="D17" i="2"/>
  <c r="D18" i="3"/>
  <c r="I72"/>
  <c r="D25" i="2"/>
  <c r="D67" i="3"/>
  <c r="H72"/>
  <c r="D55"/>
  <c r="D24" i="2"/>
  <c r="L22"/>
  <c r="F27"/>
  <c r="L20"/>
  <c r="L17"/>
  <c r="E27"/>
  <c r="L21"/>
  <c r="I27"/>
  <c r="L18"/>
  <c r="L24"/>
  <c r="L19"/>
  <c r="L25"/>
  <c r="G27"/>
  <c r="K27"/>
  <c r="L26"/>
  <c r="H27"/>
  <c r="L23"/>
  <c r="J27"/>
  <c r="D27"/>
  <c r="H73" i="3" l="1"/>
  <c r="L33"/>
  <c r="L37"/>
  <c r="L46"/>
  <c r="L60"/>
  <c r="L48"/>
  <c r="F73"/>
  <c r="L43"/>
  <c r="L51"/>
  <c r="L61"/>
  <c r="L32"/>
  <c r="L34"/>
  <c r="L20"/>
  <c r="L72"/>
  <c r="L28"/>
  <c r="L31"/>
  <c r="I73"/>
  <c r="L49"/>
  <c r="L36"/>
  <c r="L44"/>
  <c r="L64"/>
  <c r="L38"/>
  <c r="L22"/>
  <c r="L25"/>
  <c r="L63"/>
  <c r="L35"/>
  <c r="L62"/>
  <c r="L45"/>
  <c r="L56"/>
  <c r="L40"/>
  <c r="L30"/>
  <c r="L68"/>
  <c r="L58"/>
  <c r="L71"/>
  <c r="L27"/>
  <c r="L26"/>
  <c r="L29"/>
  <c r="L67"/>
  <c r="K73"/>
  <c r="L41"/>
  <c r="L18"/>
  <c r="L19"/>
  <c r="L69"/>
  <c r="L55"/>
  <c r="L57"/>
  <c r="L50"/>
  <c r="L70"/>
  <c r="L59"/>
  <c r="L23"/>
  <c r="L47"/>
  <c r="J73"/>
  <c r="L24"/>
  <c r="G73"/>
  <c r="L66"/>
  <c r="E73"/>
  <c r="L54"/>
  <c r="L42"/>
  <c r="L52"/>
  <c r="L65"/>
  <c r="L53"/>
  <c r="L21"/>
  <c r="L39"/>
  <c r="D73" l="1"/>
</calcChain>
</file>

<file path=xl/sharedStrings.xml><?xml version="1.0" encoding="utf-8"?>
<sst xmlns="http://schemas.openxmlformats.org/spreadsheetml/2006/main" count="179" uniqueCount="146">
  <si>
    <t>Институт зa oнкoлoгију Вoјвoдинe</t>
  </si>
  <si>
    <t>Срeмскa Кaмeницa</t>
  </si>
  <si>
    <t xml:space="preserve">Пут докотора  Голдмана бр. 4 </t>
  </si>
  <si>
    <t>21004 Срeмскa Кaмeницa</t>
  </si>
  <si>
    <t xml:space="preserve">Институтa зa oнкoлoгију Вoјвoдинe </t>
  </si>
  <si>
    <t>ИНСТИТУТ ЗА ОНКОЛОГИЈУ ВОЈВОДИНЕ, СРЕМСКА КАМЕНИЦА</t>
  </si>
  <si>
    <t>Пут доктора Голдмана 4</t>
  </si>
  <si>
    <t>у динарима</t>
  </si>
  <si>
    <t>Ознака ОП</t>
  </si>
  <si>
    <t>Опис</t>
  </si>
  <si>
    <t>Износ остварених прихода и промања</t>
  </si>
  <si>
    <t>%
учешћа</t>
  </si>
  <si>
    <t>Укупно</t>
  </si>
  <si>
    <t>Приходи из буџета</t>
  </si>
  <si>
    <t>Из донација</t>
  </si>
  <si>
    <t>Из осталих извора</t>
  </si>
  <si>
    <t>Средства ван уговора</t>
  </si>
  <si>
    <t>Републике</t>
  </si>
  <si>
    <t>Аутономне покрајине</t>
  </si>
  <si>
    <t>Општине</t>
  </si>
  <si>
    <t>ООСО</t>
  </si>
  <si>
    <t>Текуће донације од међународних  организација</t>
  </si>
  <si>
    <t>Споредне продаје добара и услуга које врше државне нетржишне јединице</t>
  </si>
  <si>
    <t>Текући добровољни трансфери од физичких и правних лица</t>
  </si>
  <si>
    <t>Мешовити и неодређени приходи</t>
  </si>
  <si>
    <t>Трансфери између буџетских корисника на истом нивоу</t>
  </si>
  <si>
    <t>УКУПНО</t>
  </si>
  <si>
    <t>% учешћа</t>
  </si>
  <si>
    <t>Одељење за економско-финансијске послове</t>
  </si>
  <si>
    <t>Износ извршених расхода и издатака</t>
  </si>
  <si>
    <t>% Учешћа</t>
  </si>
  <si>
    <t>Расходи и издаци на терет буџета</t>
  </si>
  <si>
    <t>Плате, додаци и накнаде запослених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</si>
  <si>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</si>
  <si>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</si>
  <si>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</si>
  <si>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</t>
  </si>
  <si>
    <t>Отпремнине и помоћи</t>
  </si>
  <si>
    <t>Накнаде трошкова за запослене</t>
  </si>
  <si>
    <t>Награде запосленима и остали посебни расходи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</si>
  <si>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</si>
  <si>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</si>
  <si>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</si>
  <si>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</si>
  <si>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</si>
  <si>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Остали трошкови</t>
  </si>
  <si>
    <t>Трошкови службених путовања у земљи</t>
  </si>
  <si>
    <t>Трошкови службених путовања у иностранство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</si>
  <si>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</si>
  <si>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</si>
  <si>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</si>
  <si>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</si>
  <si>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</si>
  <si>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</si>
  <si>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</si>
  <si>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</si>
  <si>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Медицинске услуге</t>
  </si>
  <si>
    <t>Услуге очувања животне средине, науке и геодетске</t>
  </si>
  <si>
    <t>Остале специјализоване услуге</t>
  </si>
  <si>
    <t>Текуће поправке и одржавање зграда и објеката</t>
  </si>
  <si>
    <t>Текуће поправке и одржавање опреме</t>
  </si>
  <si>
    <t>Административни материјал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</si>
  <si>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</si>
  <si>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</si>
  <si>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</si>
  <si>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</si>
  <si>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</si>
  <si>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</si>
  <si>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Негативне курсне разлике</t>
  </si>
  <si>
    <t>Остали порези</t>
  </si>
  <si>
    <t>Обавезне таксе</t>
  </si>
  <si>
    <t>Изградња зграда и објеката</t>
  </si>
  <si>
    <t>Капитално одржавање зграда и објеката</t>
  </si>
  <si>
    <t>Пројектно планирање</t>
  </si>
  <si>
    <t>Медицинска и лабораторијска опрема</t>
  </si>
  <si>
    <t>Нематеријална имовина</t>
  </si>
  <si>
    <t>Опрема за производњу, моторна, непокретна и немот.опрема</t>
  </si>
  <si>
    <t>Приход од имовине који припада имаоцима полиса осигурања</t>
  </si>
  <si>
    <t>Меморандумске ставке за рефундацију расхода</t>
  </si>
  <si>
    <t>Исплата накнада за време одсуствовања с посла на терт фондова</t>
  </si>
  <si>
    <t xml:space="preserve">Новчане казне и пенали по решењу судова </t>
  </si>
  <si>
    <t>Накнада штете за повреде или штету нанете од стран.држав.органа</t>
  </si>
  <si>
    <t>Административна опрема</t>
  </si>
  <si>
    <t>Остале текуће дотације и транфери</t>
  </si>
  <si>
    <t>Опрема за пољопривреду</t>
  </si>
  <si>
    <t>Приходи од продаје добара и услуга или закупа од стране тржишних организација</t>
  </si>
  <si>
    <t>Казне за кашњење</t>
  </si>
  <si>
    <t>Помоћ у медицинском лечењу запосленог или члана уже породице</t>
  </si>
  <si>
    <t>зa 2022. гoдину</t>
  </si>
  <si>
    <t>Института за онкологију Војводине за 2022. годину</t>
  </si>
  <si>
    <t>ПЛАНИРАНИ ПРИХОДИ И ПРИМАЊА ЗА 2022. ГОДИНУ</t>
  </si>
  <si>
    <t>ПЛАНИРАНИ РАСХОДИ И ИЗДАЦИ ЗА 2022. ГОДИНУ</t>
  </si>
  <si>
    <t>Опрема за саобраћај</t>
  </si>
  <si>
    <t xml:space="preserve">VIII Измена финансијског плана </t>
  </si>
  <si>
    <t>Број: 1524-_____/22</t>
  </si>
  <si>
    <t>Дана: _____.2022.</t>
  </si>
  <si>
    <t>Врши се повећање расхода на конту 4267- Медицински и лабораторијски материјали, из средстава ООСО, у износу од 232.112.000,00 динара</t>
  </si>
  <si>
    <t>Врши се повећање примања на конту 7811 - Трансфери између буџетских корисника на истом нивоу, Приходи од ООСО,  у износу од 232.112.000,00 динара</t>
  </si>
  <si>
    <t>На основу Анекса II уговора о финансирању здравствене заштите бр:06-20-450-314/2022-2-II, дел.бр 6066/22 од 30.11.2022., у складу са поднетим Иницијативама</t>
  </si>
  <si>
    <t>Врши се повећање примања на конту 7423 - Из осталих извора, Мешовити и неодређени приходи ,  у износу од 245.000,00 динара</t>
  </si>
  <si>
    <t>Врши се повећање примања на конту 7811 - Трансфери између буџетских корисника на истом нивоу, Приходи од ООСО,  у износу од 137.078.000,00 динара</t>
  </si>
  <si>
    <t>Врши се повећање расхода на конту 4111 -  Плате, додаци и накнаде запослених, из средстава ООСО, у износу од 131.927.000,00 динара</t>
  </si>
  <si>
    <t>Врши се повећање расхода на конту 4111 -  Плате, додаци и накнаде запослених, из осталих извора, у износу од 60.000,00 динара</t>
  </si>
  <si>
    <t>Врши се повећање расхода на конту 4121 -  Допринос за пензијско и инвалидско осигурање, из средстава ООСО, у износу од10.924.000,00 динара</t>
  </si>
  <si>
    <t>Врши се повећање расхода на конту 4121 -  Допринос за пензијско и инвалидско осигурање, из средстава Општине, у износу од 3.000,00 динара</t>
  </si>
  <si>
    <t>Врши се повећање расхода на конту 4121 -  Допринос за пензијско и инвалидско осигурање, из осталих извора, у износу од 6.000,00 динара</t>
  </si>
  <si>
    <t>Врши се повећање расхода на конту 4122 - Допринос за здравствено осигурање, из средстава ООСО, у износу од 6.781.000,00 динара</t>
  </si>
  <si>
    <t>Врши се повећање расхода на конту 4122 - Допринос за здравствено осигурање, из средстава Општине, у износу од 1.000,00 динара</t>
  </si>
  <si>
    <t>Врши се повећање расхода на конту 4122 -  Допринос за здравствено осигурање, из осталих извора, у износу од 3.000,00 динара</t>
  </si>
  <si>
    <t>Врши се повећање расхода на конту 4143 - Отпремнине и помоћи, из средстава ООСО, у износу од 290.000,00 динара</t>
  </si>
  <si>
    <t>Врши се смањење расхода на конту 4143 - Помоћ у медицинском лечењу запосленог или члана уже породице, из средстава ООСО, у износу од 290.000,00 динара</t>
  </si>
  <si>
    <t>Врши се повећање расхода на конту 4151 - Накнаде трошкова за запослене, из средстава ООСО, у износу од 112.000,00 динара</t>
  </si>
  <si>
    <t>Врши се повећање расхода на конту 4161 - Награде запосленима и остали посебни расходи, из средстава ООСО, у износу од 940.000,00 динара</t>
  </si>
  <si>
    <t>Врши се повећање расхода на конту 4211 - Трошкови платног промета и банкарских услуга, из средстава ООСО, у износу од 1.400.000,00 динара</t>
  </si>
  <si>
    <t>Врши се смањење расхода на конту 4211 - Трошкови платног промета и банкарских услуга, изосталих извора, у износу од 50.000,00 динара</t>
  </si>
  <si>
    <t>Врши се повећање расхода на конту 4212 - Енергетске услуге, из средстава ООСО, у износу од 2.358.000,00 динара</t>
  </si>
  <si>
    <t>Врши се смањење расхода на конту 4213 - Комуналне услуге, из средстава ООСО, у износу од 270.000,00 динара</t>
  </si>
  <si>
    <t>Врши се повећање расхода на конту 4214 - Услуге комуникација, из средстава ООСО, у износу од 270.000,00 динара</t>
  </si>
  <si>
    <t>Врши се смањење расхода на конту 4215 - Трошкови осигурања, из средстава ООСО, у износу од 5.564.000,00 динара</t>
  </si>
  <si>
    <t>Врши се смањење расхода на конту 4233 -Услуге образовања и усавршавања запослених, из средстава донација, у износу од 255.000,00 динара</t>
  </si>
  <si>
    <t>Врши се повећање расхода на конту 4234 - Услуге информисања, из средстава ООСО, у износу од 16.000,00 динара</t>
  </si>
  <si>
    <t>Врши се повећање расхода на конту 4235 - Стручне услуге, из средстава АПВ, у износу од 337.000,00 динара</t>
  </si>
  <si>
    <t>Врши се смањење расхода на конту 4235 - Стручне услуге, из средстава ООСО, у износу од 400.000,00 динара</t>
  </si>
  <si>
    <t>Врши се смањење расхода на конту 4235 - Стручне услуге, из осталих извора, у износу од 14.000,00 динара</t>
  </si>
  <si>
    <t>Врши се повећање расхода на конту 4236 - Услуге за домаћинство и угоститељство, из средстава ООСО, у износу од 570.000,00 динара</t>
  </si>
  <si>
    <t>Врши се повећање расхода на конту 4236 - Услуге за домаћинство и угоститељство, из осталих извора, у износу од 14.000,00 динара</t>
  </si>
  <si>
    <t>Врши се повећање расхода на конту 4237 - Репрезентцаија, из донација, у износу од 255.000,00 динара</t>
  </si>
  <si>
    <t>Врши се смањење расхода на конту 4243 - Медицинске услуге, из средстава ООСО, у износу од 3.000.000,00 динара</t>
  </si>
  <si>
    <t>Врши се повећање расхода на конту 4249 -Остале специјализоване услуге, из средстава ООСО, у износу од 100.000,00 динара</t>
  </si>
  <si>
    <t>Врши се смањење расхода на конту 4251 - Текуће поправке и одржавање зграда и објеката, из средстава ООСО, у износу од 2.100.000,00 динара</t>
  </si>
  <si>
    <t>Врши се смањење расхода на конту 4252 - Текуће поправке и одржавање зграда и објеката, из средстава ООСО, у износу од 9.620.000,00 динара</t>
  </si>
  <si>
    <t>Врши се повећање расхода на конту 4264 - Материјали за саобраћај, из средстава ООСО, у износу од 35.000,00 динара</t>
  </si>
  <si>
    <t>Врши се смањење расхода на конту 4265 - Материјали за очување животне средине и науку, из средстава ООСО, у износу од 35.000,00 динара</t>
  </si>
  <si>
    <t>Врши се повећање расхода на конту 4268 - Материјали за одржавање хигијене и угоститељство, из средстава ООСО, у износу од 360.000,00 динара</t>
  </si>
  <si>
    <t>Врши се повећање расхода на конту 4269 - Материјали за посебне намене, из средстава ООСО, у износу од 2.253.000,00 динара</t>
  </si>
  <si>
    <t>Врши се повећање расхода на конту 4442 - Казне за кашњење, из средстава ООСО, у износу од 21.000,00 динара</t>
  </si>
  <si>
    <t>Врши се повећање издатака на конту 5123 -Опрема за пољопривреду, из осталих извора, у износу од 50.000,00 динара</t>
  </si>
  <si>
    <t>Врши се смањење издатака на конту 5122 -Административна опрема, из осталих извора, у износу од 50.000,00 динара</t>
  </si>
  <si>
    <t>Врши се смањење расхода на конту 4442 - Казне за кашњење, из осталих извора, у износу од 21.000,00 динара</t>
  </si>
  <si>
    <t>Врши се смањење издатака на конту 5125 -Административна опрема, из средстава АПВ, у износу од 337.000 динара</t>
  </si>
  <si>
    <t>VIII ИЗМЕНА ФИНАНСИЈСКОГ ПЛАНА</t>
  </si>
  <si>
    <t>Врши се повећање расхода на конту 4111 -  Плате, додаци и накнаде запослених, из средстава Општине, у износу од 25.000,00 динара</t>
  </si>
  <si>
    <t>Врши се смањење примања на конту 7423 - Из осталих извора, Споредне продаје добара и услуга које врше државне нетржишне јединице,  у износу од 247.000,00 динара</t>
  </si>
  <si>
    <t>Врши се смањење расхода на конту 4235 - Стручне услуге, из средстава општине, у износу од 692.000,00 динара</t>
  </si>
  <si>
    <t>Врши се повећање расхода на конту 4231 - Административне услуге, из средстава општине, у износу од 663.000,00 динара</t>
  </si>
  <si>
    <t>На основу Обрасца 5 - дванаестомесечни за 2022. годину</t>
  </si>
</sst>
</file>

<file path=xl/styles.xml><?xml version="1.0" encoding="utf-8"?>
<styleSheet xmlns="http://schemas.openxmlformats.org/spreadsheetml/2006/main">
  <fonts count="4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Calibri"/>
      <family val="2"/>
      <charset val="238"/>
    </font>
    <font>
      <b/>
      <sz val="11"/>
      <name val="Calibri"/>
      <family val="2"/>
      <charset val="238"/>
    </font>
    <font>
      <sz val="9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Calibri"/>
      <family val="2"/>
      <charset val="238"/>
    </font>
    <font>
      <sz val="8"/>
      <name val="Calibri"/>
      <family val="2"/>
      <charset val="238"/>
    </font>
    <font>
      <b/>
      <sz val="12"/>
      <name val="Calibri"/>
      <family val="2"/>
      <charset val="238"/>
    </font>
    <font>
      <sz val="11"/>
      <color theme="1"/>
      <name val="Arial Black"/>
      <family val="2"/>
      <charset val="238"/>
    </font>
    <font>
      <sz val="8"/>
      <color theme="1"/>
      <name val="Arial"/>
      <family val="2"/>
      <charset val="238"/>
    </font>
    <font>
      <sz val="11"/>
      <color rgb="FF00B050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8"/>
      <color rgb="FFFF0000"/>
      <name val="Calibri"/>
      <family val="2"/>
      <charset val="238"/>
    </font>
    <font>
      <b/>
      <sz val="22"/>
      <color theme="1"/>
      <name val="Arial Black"/>
      <family val="2"/>
      <charset val="238"/>
    </font>
    <font>
      <sz val="9"/>
      <color theme="1"/>
      <name val="Arial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23" borderId="7" applyNumberFormat="0" applyFon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</cellStyleXfs>
  <cellXfs count="111">
    <xf numFmtId="0" fontId="0" fillId="0" borderId="0" xfId="0"/>
    <xf numFmtId="0" fontId="33" fillId="0" borderId="0" xfId="0" applyFont="1" applyAlignment="1">
      <alignment horizontal="left" vertical="top" wrapText="1" indent="1"/>
    </xf>
    <xf numFmtId="0" fontId="3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3" fillId="0" borderId="0" xfId="0" applyFont="1" applyAlignment="1"/>
    <xf numFmtId="0" fontId="4" fillId="0" borderId="0" xfId="0" applyFont="1" applyAlignment="1"/>
    <xf numFmtId="0" fontId="6" fillId="0" borderId="0" xfId="39" applyFont="1"/>
    <xf numFmtId="0" fontId="7" fillId="0" borderId="0" xfId="0" applyFont="1" applyAlignment="1"/>
    <xf numFmtId="0" fontId="8" fillId="0" borderId="0" xfId="0" applyFont="1" applyAlignment="1"/>
    <xf numFmtId="0" fontId="9" fillId="0" borderId="0" xfId="39" applyFont="1" applyAlignment="1"/>
    <xf numFmtId="0" fontId="10" fillId="0" borderId="12" xfId="39" applyFont="1" applyBorder="1" applyAlignment="1">
      <alignment horizontal="center" wrapText="1"/>
    </xf>
    <xf numFmtId="0" fontId="10" fillId="24" borderId="12" xfId="39" applyFont="1" applyFill="1" applyBorder="1"/>
    <xf numFmtId="0" fontId="10" fillId="24" borderId="12" xfId="39" applyFont="1" applyFill="1" applyBorder="1" applyAlignment="1">
      <alignment horizontal="center"/>
    </xf>
    <xf numFmtId="4" fontId="10" fillId="24" borderId="12" xfId="39" applyNumberFormat="1" applyFont="1" applyFill="1" applyBorder="1" applyAlignment="1">
      <alignment horizontal="center"/>
    </xf>
    <xf numFmtId="0" fontId="11" fillId="0" borderId="13" xfId="0" applyFont="1" applyBorder="1" applyAlignment="1">
      <alignment wrapText="1"/>
    </xf>
    <xf numFmtId="0" fontId="3" fillId="0" borderId="0" xfId="0" applyFont="1" applyFill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/>
    <xf numFmtId="0" fontId="11" fillId="0" borderId="12" xfId="0" applyFont="1" applyFill="1" applyBorder="1" applyAlignment="1">
      <alignment horizontal="center"/>
    </xf>
    <xf numFmtId="0" fontId="11" fillId="0" borderId="14" xfId="0" applyFont="1" applyFill="1" applyBorder="1" applyAlignment="1"/>
    <xf numFmtId="0" fontId="10" fillId="0" borderId="12" xfId="39" applyFont="1" applyFill="1" applyBorder="1" applyAlignment="1">
      <alignment horizontal="center" wrapText="1"/>
    </xf>
    <xf numFmtId="0" fontId="10" fillId="0" borderId="12" xfId="39" applyFont="1" applyFill="1" applyBorder="1"/>
    <xf numFmtId="0" fontId="11" fillId="0" borderId="13" xfId="0" applyFont="1" applyFill="1" applyBorder="1" applyAlignment="1">
      <alignment wrapText="1"/>
    </xf>
    <xf numFmtId="0" fontId="35" fillId="0" borderId="0" xfId="0" applyFont="1"/>
    <xf numFmtId="0" fontId="30" fillId="0" borderId="0" xfId="0" applyFont="1"/>
    <xf numFmtId="0" fontId="30" fillId="0" borderId="0" xfId="0" applyFont="1" applyFill="1"/>
    <xf numFmtId="0" fontId="13" fillId="0" borderId="0" xfId="0" applyFont="1" applyFill="1"/>
    <xf numFmtId="0" fontId="11" fillId="0" borderId="0" xfId="0" applyFont="1" applyFill="1"/>
    <xf numFmtId="0" fontId="11" fillId="0" borderId="14" xfId="0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/>
    </xf>
    <xf numFmtId="0" fontId="13" fillId="0" borderId="15" xfId="0" applyFont="1" applyFill="1" applyBorder="1" applyAlignment="1">
      <alignment wrapText="1"/>
    </xf>
    <xf numFmtId="3" fontId="13" fillId="0" borderId="12" xfId="0" applyNumberFormat="1" applyFont="1" applyFill="1" applyBorder="1" applyAlignment="1">
      <alignment horizontal="center"/>
    </xf>
    <xf numFmtId="3" fontId="13" fillId="0" borderId="16" xfId="0" applyNumberFormat="1" applyFont="1" applyFill="1" applyBorder="1" applyAlignment="1">
      <alignment horizontal="center"/>
    </xf>
    <xf numFmtId="3" fontId="13" fillId="0" borderId="17" xfId="0" applyNumberFormat="1" applyFont="1" applyFill="1" applyBorder="1" applyAlignment="1">
      <alignment horizontal="center"/>
    </xf>
    <xf numFmtId="4" fontId="13" fillId="0" borderId="12" xfId="0" applyNumberFormat="1" applyFont="1" applyFill="1" applyBorder="1" applyAlignment="1">
      <alignment horizontal="center"/>
    </xf>
    <xf numFmtId="0" fontId="31" fillId="0" borderId="0" xfId="0" applyFont="1" applyFill="1"/>
    <xf numFmtId="3" fontId="31" fillId="0" borderId="0" xfId="0" applyNumberFormat="1" applyFont="1" applyFill="1"/>
    <xf numFmtId="0" fontId="13" fillId="0" borderId="12" xfId="0" applyFont="1" applyFill="1" applyBorder="1" applyAlignment="1">
      <alignment horizontal="center"/>
    </xf>
    <xf numFmtId="0" fontId="13" fillId="0" borderId="12" xfId="0" applyFont="1" applyFill="1" applyBorder="1" applyAlignment="1">
      <alignment wrapText="1"/>
    </xf>
    <xf numFmtId="0" fontId="13" fillId="0" borderId="18" xfId="0" applyFont="1" applyFill="1" applyBorder="1" applyAlignment="1">
      <alignment wrapText="1"/>
    </xf>
    <xf numFmtId="0" fontId="13" fillId="0" borderId="12" xfId="0" applyFont="1" applyFill="1" applyBorder="1"/>
    <xf numFmtId="4" fontId="11" fillId="0" borderId="12" xfId="0" applyNumberFormat="1" applyFont="1" applyFill="1" applyBorder="1" applyAlignment="1">
      <alignment horizontal="center"/>
    </xf>
    <xf numFmtId="0" fontId="3" fillId="0" borderId="0" xfId="0" applyFont="1" applyFill="1"/>
    <xf numFmtId="0" fontId="13" fillId="0" borderId="19" xfId="0" applyFont="1" applyFill="1" applyBorder="1" applyAlignment="1">
      <alignment horizontal="center"/>
    </xf>
    <xf numFmtId="0" fontId="11" fillId="25" borderId="12" xfId="0" applyFont="1" applyFill="1" applyBorder="1"/>
    <xf numFmtId="3" fontId="11" fillId="25" borderId="12" xfId="0" applyNumberFormat="1" applyFont="1" applyFill="1" applyBorder="1" applyAlignment="1">
      <alignment horizontal="center"/>
    </xf>
    <xf numFmtId="0" fontId="36" fillId="0" borderId="12" xfId="39" applyFont="1" applyBorder="1" applyAlignment="1">
      <alignment vertical="center"/>
    </xf>
    <xf numFmtId="0" fontId="36" fillId="0" borderId="12" xfId="39" applyFont="1" applyBorder="1" applyAlignment="1">
      <alignment horizontal="left" vertical="center" wrapText="1"/>
    </xf>
    <xf numFmtId="3" fontId="36" fillId="0" borderId="12" xfId="39" applyNumberFormat="1" applyFont="1" applyBorder="1" applyAlignment="1">
      <alignment horizontal="center"/>
    </xf>
    <xf numFmtId="3" fontId="36" fillId="0" borderId="12" xfId="39" applyNumberFormat="1" applyFont="1" applyFill="1" applyBorder="1" applyAlignment="1">
      <alignment horizontal="center"/>
    </xf>
    <xf numFmtId="4" fontId="36" fillId="0" borderId="12" xfId="39" applyNumberFormat="1" applyFont="1" applyFill="1" applyBorder="1" applyAlignment="1">
      <alignment horizontal="center"/>
    </xf>
    <xf numFmtId="0" fontId="37" fillId="24" borderId="12" xfId="39" applyFont="1" applyFill="1" applyBorder="1"/>
    <xf numFmtId="3" fontId="37" fillId="24" borderId="12" xfId="39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38" fillId="0" borderId="0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wrapText="1"/>
    </xf>
    <xf numFmtId="0" fontId="39" fillId="0" borderId="0" xfId="39" applyFont="1"/>
    <xf numFmtId="0" fontId="40" fillId="0" borderId="0" xfId="0" applyFont="1" applyFill="1"/>
    <xf numFmtId="0" fontId="32" fillId="0" borderId="0" xfId="0" applyFont="1" applyAlignment="1">
      <alignment wrapText="1"/>
    </xf>
    <xf numFmtId="0" fontId="32" fillId="0" borderId="0" xfId="0" applyFont="1" applyAlignment="1">
      <alignment horizontal="center" wrapText="1"/>
    </xf>
    <xf numFmtId="3" fontId="13" fillId="0" borderId="0" xfId="0" applyNumberFormat="1" applyFont="1" applyFill="1"/>
    <xf numFmtId="3" fontId="36" fillId="26" borderId="12" xfId="39" applyNumberFormat="1" applyFont="1" applyFill="1" applyBorder="1" applyAlignment="1">
      <alignment horizontal="center"/>
    </xf>
    <xf numFmtId="3" fontId="13" fillId="26" borderId="12" xfId="0" applyNumberFormat="1" applyFont="1" applyFill="1" applyBorder="1" applyAlignment="1">
      <alignment horizontal="center"/>
    </xf>
    <xf numFmtId="3" fontId="36" fillId="27" borderId="12" xfId="39" applyNumberFormat="1" applyFont="1" applyFill="1" applyBorder="1" applyAlignment="1">
      <alignment horizontal="center"/>
    </xf>
    <xf numFmtId="3" fontId="6" fillId="0" borderId="0" xfId="39" applyNumberFormat="1" applyFont="1"/>
    <xf numFmtId="3" fontId="13" fillId="27" borderId="12" xfId="0" applyNumberFormat="1" applyFont="1" applyFill="1" applyBorder="1" applyAlignment="1">
      <alignment horizontal="center"/>
    </xf>
    <xf numFmtId="3" fontId="39" fillId="0" borderId="0" xfId="39" applyNumberFormat="1" applyFont="1"/>
    <xf numFmtId="3" fontId="40" fillId="0" borderId="0" xfId="0" applyNumberFormat="1" applyFont="1" applyFill="1"/>
    <xf numFmtId="0" fontId="30" fillId="26" borderId="0" xfId="0" applyFont="1" applyFill="1" applyAlignment="1">
      <alignment wrapText="1"/>
    </xf>
    <xf numFmtId="0" fontId="30" fillId="28" borderId="0" xfId="0" applyFont="1" applyFill="1" applyAlignment="1">
      <alignment wrapText="1"/>
    </xf>
    <xf numFmtId="0" fontId="30" fillId="29" borderId="0" xfId="0" applyFont="1" applyFill="1" applyAlignment="1">
      <alignment wrapText="1"/>
    </xf>
    <xf numFmtId="0" fontId="30" fillId="30" borderId="0" xfId="0" applyFont="1" applyFill="1" applyAlignment="1">
      <alignment wrapText="1"/>
    </xf>
    <xf numFmtId="0" fontId="41" fillId="0" borderId="0" xfId="0" applyFont="1" applyAlignment="1">
      <alignment horizontal="left"/>
    </xf>
    <xf numFmtId="0" fontId="33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 wrapText="1"/>
    </xf>
    <xf numFmtId="0" fontId="42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left"/>
    </xf>
    <xf numFmtId="0" fontId="3" fillId="0" borderId="0" xfId="0" applyFont="1" applyFill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9" fillId="0" borderId="0" xfId="39" applyFont="1" applyAlignment="1">
      <alignment horizontal="center"/>
    </xf>
    <xf numFmtId="0" fontId="6" fillId="0" borderId="19" xfId="39" applyFont="1" applyBorder="1" applyAlignment="1">
      <alignment horizontal="right"/>
    </xf>
    <xf numFmtId="0" fontId="10" fillId="0" borderId="12" xfId="39" applyFont="1" applyBorder="1" applyAlignment="1">
      <alignment horizontal="center" wrapText="1"/>
    </xf>
    <xf numFmtId="0" fontId="10" fillId="0" borderId="12" xfId="39" applyFont="1" applyBorder="1" applyAlignment="1">
      <alignment horizontal="center"/>
    </xf>
    <xf numFmtId="0" fontId="10" fillId="0" borderId="16" xfId="39" applyFont="1" applyBorder="1" applyAlignment="1">
      <alignment horizontal="center"/>
    </xf>
    <xf numFmtId="0" fontId="10" fillId="0" borderId="14" xfId="39" applyFont="1" applyBorder="1" applyAlignment="1">
      <alignment horizontal="center"/>
    </xf>
    <xf numFmtId="0" fontId="10" fillId="0" borderId="20" xfId="39" applyFont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1" fillId="0" borderId="13" xfId="0" applyFont="1" applyFill="1" applyBorder="1" applyAlignment="1">
      <alignment horizontal="center" wrapText="1"/>
    </xf>
    <xf numFmtId="0" fontId="11" fillId="0" borderId="23" xfId="0" applyFont="1" applyFill="1" applyBorder="1" applyAlignment="1">
      <alignment horizontal="center" wrapText="1"/>
    </xf>
    <xf numFmtId="0" fontId="11" fillId="0" borderId="21" xfId="0" applyFont="1" applyFill="1" applyBorder="1" applyAlignment="1">
      <alignment horizontal="center" wrapText="1"/>
    </xf>
    <xf numFmtId="0" fontId="13" fillId="0" borderId="19" xfId="0" applyFont="1" applyFill="1" applyBorder="1" applyAlignment="1">
      <alignment horizontal="right"/>
    </xf>
    <xf numFmtId="0" fontId="11" fillId="0" borderId="22" xfId="0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32" fillId="0" borderId="0" xfId="0" applyFont="1" applyAlignment="1">
      <alignment horizontal="center" wrapText="1"/>
    </xf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rmal_kl7 za 2014-konačan" xfId="39"/>
    <cellStyle name="Note 2" xfId="40"/>
    <cellStyle name="Output 2" xfId="41"/>
    <cellStyle name="Title 2" xfId="42"/>
    <cellStyle name="Total 2" xfId="43"/>
    <cellStyle name="Warning Text 2" xfId="44"/>
  </cellStyles>
  <dxfs count="4">
    <dxf>
      <fill>
        <patternFill patternType="solid">
          <fgColor rgb="FFF2DDDC"/>
          <bgColor rgb="FF000000"/>
        </patternFill>
      </fill>
    </dxf>
    <dxf>
      <fill>
        <patternFill patternType="solid">
          <fgColor rgb="FFB6DDE8"/>
          <bgColor rgb="FF000000"/>
        </patternFill>
      </fill>
    </dxf>
    <dxf>
      <fill>
        <patternFill patternType="solid">
          <fgColor rgb="FFD8D8D8"/>
          <bgColor rgb="FF000000"/>
        </patternFill>
      </fill>
    </dxf>
    <dxf>
      <fill>
        <patternFill patternType="solid">
          <fgColor rgb="FFC2D69A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sr-Latn-RS" sz="1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z-Cyrl-AZ"/>
              <a:t>% учешћа (по приходима)
 </a:t>
            </a:r>
          </a:p>
        </c:rich>
      </c:tx>
      <c:layout>
        <c:manualLayout>
          <c:xMode val="edge"/>
          <c:yMode val="edge"/>
          <c:x val="0.38394580458863431"/>
          <c:y val="2.811950790861159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7004884704186271E-2"/>
          <c:y val="0.14411247803163443"/>
          <c:w val="0.8144935221293047"/>
          <c:h val="0.5043936731107207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3366FF"/>
                </a:gs>
                <a:gs pos="100000">
                  <a:srgbClr val="3366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lang="sr-Latn-RS"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ПРИХОДИ!$C$17:$C$25</c:f>
              <c:strCache>
                <c:ptCount val="9"/>
                <c:pt idx="0">
                  <c:v>Текуће донације од међународних  организација</c:v>
                </c:pt>
                <c:pt idx="1">
                  <c:v>Приход од имовине који припада имаоцима полиса осигурања</c:v>
                </c:pt>
                <c:pt idx="2">
                  <c:v>Приходи од продаје добара и услуга или закупа од стране тржишних организација</c:v>
                </c:pt>
                <c:pt idx="3">
                  <c:v>Споредне продаје добара и услуга које врше државне нетржишне јединице</c:v>
                </c:pt>
                <c:pt idx="4">
                  <c:v>Текући добровољни трансфери од физичких и правних лица</c:v>
                </c:pt>
                <c:pt idx="5">
                  <c:v>Мешовити и неодређени приходи</c:v>
                </c:pt>
                <c:pt idx="6">
                  <c:v>Меморандумске ставке за рефундацију расхода</c:v>
                </c:pt>
                <c:pt idx="7">
                  <c:v>Трансфери између буџетских корисника на истом нивоу</c:v>
                </c:pt>
                <c:pt idx="8">
                  <c:v>Приходи из буџета</c:v>
                </c:pt>
              </c:strCache>
            </c:strRef>
          </c:cat>
          <c:val>
            <c:numRef>
              <c:f>ПРИХОДИ!$L$17:$L$25</c:f>
              <c:numCache>
                <c:formatCode>#,##0.00</c:formatCode>
                <c:ptCount val="9"/>
                <c:pt idx="0">
                  <c:v>0</c:v>
                </c:pt>
                <c:pt idx="1">
                  <c:v>0.45933668380437193</c:v>
                </c:pt>
                <c:pt idx="2">
                  <c:v>1.835046809882435E-2</c:v>
                </c:pt>
                <c:pt idx="3">
                  <c:v>0.73383521927198581</c:v>
                </c:pt>
                <c:pt idx="4">
                  <c:v>6.5278731850217819E-2</c:v>
                </c:pt>
                <c:pt idx="5">
                  <c:v>8.8840732889108279E-2</c:v>
                </c:pt>
                <c:pt idx="6">
                  <c:v>0</c:v>
                </c:pt>
                <c:pt idx="7">
                  <c:v>51.974642478570168</c:v>
                </c:pt>
                <c:pt idx="8">
                  <c:v>46.659715685515323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0AF-4877-A46D-F3D827E394E8}"/>
            </c:ext>
          </c:extLst>
        </c:ser>
        <c:axId val="152360448"/>
        <c:axId val="152361984"/>
      </c:barChart>
      <c:catAx>
        <c:axId val="152360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lang="sr-Latn-RS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361984"/>
        <c:crosses val="autoZero"/>
        <c:auto val="1"/>
        <c:lblAlgn val="ctr"/>
        <c:lblOffset val="100"/>
        <c:tickLblSkip val="1"/>
        <c:tickMarkSkip val="1"/>
      </c:catAx>
      <c:valAx>
        <c:axId val="1523619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360448"/>
        <c:crosses val="autoZero"/>
        <c:crossBetween val="between"/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11" r="0.750000000000001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sr-Latn-RS" sz="1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z-Cyrl-AZ"/>
              <a:t>% учешћа (по изворима)</a:t>
            </a:r>
          </a:p>
        </c:rich>
      </c:tx>
      <c:layout>
        <c:manualLayout>
          <c:xMode val="edge"/>
          <c:yMode val="edge"/>
          <c:x val="0.39092684323550536"/>
          <c:y val="3.428571428571432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7251687560270005E-2"/>
          <c:y val="0.20285714285714307"/>
          <c:w val="0.93828351012536149"/>
          <c:h val="0.5971428571428572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3366FF"/>
                </a:gs>
                <a:gs pos="100000">
                  <a:srgbClr val="3366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lang="sr-Latn-RS" sz="11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ПРИХОДИ!$E$28:$K$28</c:f>
              <c:strCache>
                <c:ptCount val="7"/>
                <c:pt idx="0">
                  <c:v>Републике</c:v>
                </c:pt>
                <c:pt idx="1">
                  <c:v>Аутономне покрајине</c:v>
                </c:pt>
                <c:pt idx="2">
                  <c:v>Општине</c:v>
                </c:pt>
                <c:pt idx="3">
                  <c:v>ООСО</c:v>
                </c:pt>
                <c:pt idx="4">
                  <c:v>Из донација</c:v>
                </c:pt>
                <c:pt idx="5">
                  <c:v>Из осталих извора</c:v>
                </c:pt>
                <c:pt idx="6">
                  <c:v>Средства ван уговора</c:v>
                </c:pt>
              </c:strCache>
            </c:strRef>
          </c:cat>
          <c:val>
            <c:numRef>
              <c:f>ПРИХОДИ!$E$27:$K$27</c:f>
              <c:numCache>
                <c:formatCode>#,##0.00</c:formatCode>
                <c:ptCount val="7"/>
                <c:pt idx="0">
                  <c:v>3.4474412734991348E-2</c:v>
                </c:pt>
                <c:pt idx="1">
                  <c:v>46.616163907894112</c:v>
                </c:pt>
                <c:pt idx="2">
                  <c:v>9.0773648862184451E-3</c:v>
                </c:pt>
                <c:pt idx="3">
                  <c:v>49.86146374053655</c:v>
                </c:pt>
                <c:pt idx="4">
                  <c:v>6.5278731850217819E-2</c:v>
                </c:pt>
                <c:pt idx="5">
                  <c:v>0.78154643632892906</c:v>
                </c:pt>
                <c:pt idx="6">
                  <c:v>2.6319954057689774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49-49CD-BAD5-B0E67D3D5EC6}"/>
            </c:ext>
          </c:extLst>
        </c:ser>
        <c:dLbls>
          <c:showVal val="1"/>
        </c:dLbls>
        <c:axId val="152443520"/>
        <c:axId val="152453504"/>
      </c:barChart>
      <c:catAx>
        <c:axId val="152443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53504"/>
        <c:crosses val="autoZero"/>
        <c:auto val="1"/>
        <c:lblAlgn val="ctr"/>
        <c:lblOffset val="100"/>
        <c:tickLblSkip val="1"/>
        <c:tickMarkSkip val="1"/>
      </c:catAx>
      <c:valAx>
        <c:axId val="1524535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43520"/>
        <c:crosses val="autoZero"/>
        <c:crossBetween val="between"/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12700">
          <a:solidFill>
            <a:srgbClr val="FFFFFF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11" r="0.750000000000001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sr-Latn-RS" sz="1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z-Cyrl-AZ"/>
              <a:t>% учешћа (по трошковима)
</a:t>
            </a:r>
          </a:p>
        </c:rich>
      </c:tx>
      <c:layout>
        <c:manualLayout>
          <c:xMode val="edge"/>
          <c:yMode val="edge"/>
          <c:x val="0.37061620078076718"/>
          <c:y val="2.52365304730609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5500522398279885E-2"/>
          <c:y val="0.13517077690644574"/>
          <c:w val="0.93062483092830228"/>
          <c:h val="0.42257272003762764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3366FF"/>
                </a:gs>
                <a:gs pos="100000">
                  <a:srgbClr val="3366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lang="sr-Latn-RS"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РАСХОДИ!$C$18:$C$71</c:f>
              <c:strCache>
                <c:ptCount val="54"/>
                <c:pt idx="0">
                  <c:v>Плате, додаци и накнаде запослених</c:v>
                </c:pt>
                <c:pt idx="1">
                  <c:v>Допринос за пензијско и инвалидско осигурање</c:v>
                </c:pt>
                <c:pt idx="2">
                  <c:v>Допринос за здравствено осигурање</c:v>
                </c:pt>
                <c:pt idx="3">
                  <c:v>Допринос за незапосленост</c:v>
                </c:pt>
                <c:pt idx="4">
                  <c:v>Накнаде у натури</c:v>
                </c:pt>
                <c:pt idx="5">
                  <c:v>Исплата накнада за време одсуствовања с посла на терт фондова</c:v>
                </c:pt>
                <c:pt idx="6">
                  <c:v>Отпремнине и помоћи</c:v>
                </c:pt>
                <c:pt idx="7">
                  <c:v>Помоћ у медицинском лечењу запосленог или члана уже породице</c:v>
                </c:pt>
                <c:pt idx="8">
                  <c:v>Накнаде трошкова за запослене</c:v>
                </c:pt>
                <c:pt idx="9">
                  <c:v>Награде запосленима и остали посебни расходи</c:v>
                </c:pt>
                <c:pt idx="10">
                  <c:v>Трошкови платног промета и банкарских услуга</c:v>
                </c:pt>
                <c:pt idx="11">
                  <c:v>Енергетске услуге</c:v>
                </c:pt>
                <c:pt idx="12">
                  <c:v>Комуналне услуге</c:v>
                </c:pt>
                <c:pt idx="13">
                  <c:v>Услуге комуникација</c:v>
                </c:pt>
                <c:pt idx="14">
                  <c:v>Трошкови осигурања</c:v>
                </c:pt>
                <c:pt idx="15">
                  <c:v>Остали трошкови</c:v>
                </c:pt>
                <c:pt idx="16">
                  <c:v>Трошкови службених путовања у земљи</c:v>
                </c:pt>
                <c:pt idx="17">
                  <c:v>Трошкови службених путовања у иностранство</c:v>
                </c:pt>
                <c:pt idx="18">
                  <c:v>Административне услуге</c:v>
                </c:pt>
                <c:pt idx="19">
                  <c:v>Компјутерске услуге</c:v>
                </c:pt>
                <c:pt idx="20">
                  <c:v>Услуге образовања и усавршавања запослених</c:v>
                </c:pt>
                <c:pt idx="21">
                  <c:v>Услуге информисања</c:v>
                </c:pt>
                <c:pt idx="22">
                  <c:v>Стручне услуге</c:v>
                </c:pt>
                <c:pt idx="23">
                  <c:v>Услуге за домаћинство и угоститељство</c:v>
                </c:pt>
                <c:pt idx="24">
                  <c:v>Репрезентација</c:v>
                </c:pt>
                <c:pt idx="25">
                  <c:v>Остале опште услуге</c:v>
                </c:pt>
                <c:pt idx="26">
                  <c:v>Медицинске услуге</c:v>
                </c:pt>
                <c:pt idx="27">
                  <c:v>Услуге очувања животне средине, науке и геодетске</c:v>
                </c:pt>
                <c:pt idx="28">
                  <c:v>Остале специјализоване услуге</c:v>
                </c:pt>
                <c:pt idx="29">
                  <c:v>Текуће поправке и одржавање зграда и објеката</c:v>
                </c:pt>
                <c:pt idx="30">
                  <c:v>Текуће поправке и одржавање опреме</c:v>
                </c:pt>
                <c:pt idx="31">
                  <c:v>Административни материјал</c:v>
                </c:pt>
                <c:pt idx="32">
                  <c:v>Материјали за образовање и усавршавање запослених</c:v>
                </c:pt>
                <c:pt idx="33">
                  <c:v>Материјали за саобраћај</c:v>
                </c:pt>
                <c:pt idx="34">
                  <c:v>Материјали за очување животне средине и науку</c:v>
                </c:pt>
                <c:pt idx="35">
                  <c:v>Медицински и лабораторијски материјали</c:v>
                </c:pt>
                <c:pt idx="36">
                  <c:v>Материјали за одржавање хигијене и угоститељство</c:v>
                </c:pt>
                <c:pt idx="37">
                  <c:v>Материјали за посебне намене</c:v>
                </c:pt>
                <c:pt idx="38">
                  <c:v>Негативне курсне разлике</c:v>
                </c:pt>
                <c:pt idx="39">
                  <c:v>Казне за кашњење</c:v>
                </c:pt>
                <c:pt idx="40">
                  <c:v>Остале текуће дотације и транфери</c:v>
                </c:pt>
                <c:pt idx="41">
                  <c:v>Остали порези</c:v>
                </c:pt>
                <c:pt idx="42">
                  <c:v>Обавезне таксе</c:v>
                </c:pt>
                <c:pt idx="43">
                  <c:v>Новчане казне и пенали по решењу судова </c:v>
                </c:pt>
                <c:pt idx="44">
                  <c:v>Накнада штете за повреде или штету нанете од стран.држав.органа</c:v>
                </c:pt>
                <c:pt idx="45">
                  <c:v>Изградња зграда и објеката</c:v>
                </c:pt>
                <c:pt idx="46">
                  <c:v>Капитално одржавање зграда и објеката</c:v>
                </c:pt>
                <c:pt idx="47">
                  <c:v>Пројектно планирање</c:v>
                </c:pt>
                <c:pt idx="48">
                  <c:v>Опрема за саобраћај</c:v>
                </c:pt>
                <c:pt idx="49">
                  <c:v>Административна опрема</c:v>
                </c:pt>
                <c:pt idx="50">
                  <c:v>Опрема за пољопривреду</c:v>
                </c:pt>
                <c:pt idx="51">
                  <c:v>Медицинска и лабораторијска опрема</c:v>
                </c:pt>
                <c:pt idx="52">
                  <c:v>Опрема за производњу, моторна, непокретна и немот.опрема</c:v>
                </c:pt>
                <c:pt idx="53">
                  <c:v>Нематеријална имовина</c:v>
                </c:pt>
              </c:strCache>
            </c:strRef>
          </c:cat>
          <c:val>
            <c:numRef>
              <c:f>РАСХОДИ!$L$18:$L$71</c:f>
              <c:numCache>
                <c:formatCode>#,##0.00</c:formatCode>
                <c:ptCount val="54"/>
                <c:pt idx="0">
                  <c:v>11.507725348517541</c:v>
                </c:pt>
                <c:pt idx="1">
                  <c:v>1.3334918158053679</c:v>
                </c:pt>
                <c:pt idx="2">
                  <c:v>0.59267118501042959</c:v>
                </c:pt>
                <c:pt idx="3">
                  <c:v>0</c:v>
                </c:pt>
                <c:pt idx="4">
                  <c:v>8.8082246874356881E-2</c:v>
                </c:pt>
                <c:pt idx="5">
                  <c:v>0</c:v>
                </c:pt>
                <c:pt idx="6">
                  <c:v>8.918327496028633E-2</c:v>
                </c:pt>
                <c:pt idx="7">
                  <c:v>0.12308270636151451</c:v>
                </c:pt>
                <c:pt idx="8">
                  <c:v>0.3315317903187599</c:v>
                </c:pt>
                <c:pt idx="9">
                  <c:v>0.13757957615958574</c:v>
                </c:pt>
                <c:pt idx="10">
                  <c:v>8.1537246585776199E-2</c:v>
                </c:pt>
                <c:pt idx="11">
                  <c:v>0.83164321423871945</c:v>
                </c:pt>
                <c:pt idx="12">
                  <c:v>0.34927057614762347</c:v>
                </c:pt>
                <c:pt idx="13">
                  <c:v>2.7782608701620068E-2</c:v>
                </c:pt>
                <c:pt idx="14">
                  <c:v>0.48857020285033903</c:v>
                </c:pt>
                <c:pt idx="15">
                  <c:v>1.8962150368785162E-3</c:v>
                </c:pt>
                <c:pt idx="16">
                  <c:v>2.3243926258510843E-3</c:v>
                </c:pt>
                <c:pt idx="17">
                  <c:v>2.1286542994636247E-2</c:v>
                </c:pt>
                <c:pt idx="18">
                  <c:v>1.4227729599288478E-2</c:v>
                </c:pt>
                <c:pt idx="19">
                  <c:v>0.29625485044557998</c:v>
                </c:pt>
                <c:pt idx="20">
                  <c:v>0.14040554824680471</c:v>
                </c:pt>
                <c:pt idx="21">
                  <c:v>1.9935948542562774E-2</c:v>
                </c:pt>
                <c:pt idx="22">
                  <c:v>5.7187398783176198E-2</c:v>
                </c:pt>
                <c:pt idx="23">
                  <c:v>0.14729309060656345</c:v>
                </c:pt>
                <c:pt idx="24">
                  <c:v>1.2539486534196637E-2</c:v>
                </c:pt>
                <c:pt idx="25">
                  <c:v>2.9360748958118959E-3</c:v>
                </c:pt>
                <c:pt idx="26">
                  <c:v>9.8297340782702441E-2</c:v>
                </c:pt>
                <c:pt idx="27">
                  <c:v>0</c:v>
                </c:pt>
                <c:pt idx="28">
                  <c:v>3.1807478037962204E-3</c:v>
                </c:pt>
                <c:pt idx="29">
                  <c:v>0.3426644076320467</c:v>
                </c:pt>
                <c:pt idx="30">
                  <c:v>1.1006203140610142</c:v>
                </c:pt>
                <c:pt idx="31">
                  <c:v>0.17699638163586046</c:v>
                </c:pt>
                <c:pt idx="32">
                  <c:v>4.2817758897256818E-3</c:v>
                </c:pt>
                <c:pt idx="33">
                  <c:v>1.0215093908345555E-2</c:v>
                </c:pt>
                <c:pt idx="34">
                  <c:v>4.4652805707139252E-3</c:v>
                </c:pt>
                <c:pt idx="35">
                  <c:v>34.092025680748044</c:v>
                </c:pt>
                <c:pt idx="36">
                  <c:v>0.59630457769399681</c:v>
                </c:pt>
                <c:pt idx="37">
                  <c:v>0.17101960970878255</c:v>
                </c:pt>
                <c:pt idx="38">
                  <c:v>6.1168226996081163E-4</c:v>
                </c:pt>
                <c:pt idx="39">
                  <c:v>2.6914019878275714E-3</c:v>
                </c:pt>
                <c:pt idx="40">
                  <c:v>7.5310321077575126E-2</c:v>
                </c:pt>
                <c:pt idx="41">
                  <c:v>1.9573832638745971E-3</c:v>
                </c:pt>
                <c:pt idx="42">
                  <c:v>7.0955143315454151E-3</c:v>
                </c:pt>
                <c:pt idx="43">
                  <c:v>0</c:v>
                </c:pt>
                <c:pt idx="44">
                  <c:v>0</c:v>
                </c:pt>
                <c:pt idx="45">
                  <c:v>38.566591588319973</c:v>
                </c:pt>
                <c:pt idx="46">
                  <c:v>0</c:v>
                </c:pt>
                <c:pt idx="47">
                  <c:v>0.27800959169718886</c:v>
                </c:pt>
                <c:pt idx="48">
                  <c:v>1.0398598589333799E-2</c:v>
                </c:pt>
                <c:pt idx="49">
                  <c:v>0.22000107063481733</c:v>
                </c:pt>
                <c:pt idx="50">
                  <c:v>6.1168226996081163E-4</c:v>
                </c:pt>
                <c:pt idx="51">
                  <c:v>7.4852881342826363</c:v>
                </c:pt>
                <c:pt idx="52">
                  <c:v>2.4467290798432465E-3</c:v>
                </c:pt>
                <c:pt idx="53">
                  <c:v>5.047602091716618E-2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90D-43A4-85A3-55E10070E78E}"/>
            </c:ext>
          </c:extLst>
        </c:ser>
        <c:axId val="152519808"/>
        <c:axId val="152521344"/>
      </c:barChart>
      <c:catAx>
        <c:axId val="152519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lang="sr-Latn-RS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521344"/>
        <c:crosses val="autoZero"/>
        <c:auto val="1"/>
        <c:lblAlgn val="ctr"/>
        <c:lblOffset val="100"/>
        <c:tickLblSkip val="1"/>
        <c:tickMarkSkip val="1"/>
      </c:catAx>
      <c:valAx>
        <c:axId val="1525213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519808"/>
        <c:crosses val="autoZero"/>
        <c:crossBetween val="between"/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12700">
          <a:solidFill>
            <a:srgbClr val="FFFFFF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11" r="0.75000000000000111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sr-Latn-RS"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z-Cyrl-AZ"/>
              <a:t>% учешћа (по изворима)</a:t>
            </a:r>
          </a:p>
        </c:rich>
      </c:tx>
      <c:layout>
        <c:manualLayout>
          <c:xMode val="edge"/>
          <c:yMode val="edge"/>
          <c:x val="0.393364829396326"/>
          <c:y val="3.073290965532864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741343809608015E-2"/>
          <c:y val="0.17512712058702903"/>
          <c:w val="0.93333424025792855"/>
          <c:h val="0.67005159181124052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3366FF"/>
                </a:gs>
                <a:gs pos="100000">
                  <a:srgbClr val="3366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3366FF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lang="sr-Latn-RS" sz="9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РАСХОДИ!$E$74:$K$74</c:f>
              <c:strCache>
                <c:ptCount val="7"/>
                <c:pt idx="0">
                  <c:v>Републике</c:v>
                </c:pt>
                <c:pt idx="1">
                  <c:v>Аутономне покрајине</c:v>
                </c:pt>
                <c:pt idx="2">
                  <c:v>Општине</c:v>
                </c:pt>
                <c:pt idx="3">
                  <c:v>ООСО</c:v>
                </c:pt>
                <c:pt idx="4">
                  <c:v>Из донација</c:v>
                </c:pt>
                <c:pt idx="5">
                  <c:v>Из осталих извора</c:v>
                </c:pt>
                <c:pt idx="6">
                  <c:v>Средства ван уговора</c:v>
                </c:pt>
              </c:strCache>
            </c:strRef>
          </c:cat>
          <c:val>
            <c:numRef>
              <c:f>РАСХОДИ!$E$73:$K$73</c:f>
              <c:numCache>
                <c:formatCode>#,##0.00</c:formatCode>
                <c:ptCount val="7"/>
                <c:pt idx="0">
                  <c:v>3.4474412734991348E-2</c:v>
                </c:pt>
                <c:pt idx="1">
                  <c:v>46.616163907894112</c:v>
                </c:pt>
                <c:pt idx="2">
                  <c:v>9.0773648862184451E-3</c:v>
                </c:pt>
                <c:pt idx="3">
                  <c:v>49.86146374053655</c:v>
                </c:pt>
                <c:pt idx="4">
                  <c:v>6.5278731850217819E-2</c:v>
                </c:pt>
                <c:pt idx="5">
                  <c:v>0.78154643632892906</c:v>
                </c:pt>
                <c:pt idx="6">
                  <c:v>2.6319954057689774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7E3-45C2-94F9-0316E2711961}"/>
            </c:ext>
          </c:extLst>
        </c:ser>
        <c:axId val="152545536"/>
        <c:axId val="152555520"/>
      </c:barChart>
      <c:catAx>
        <c:axId val="152545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555520"/>
        <c:crosses val="autoZero"/>
        <c:auto val="1"/>
        <c:lblAlgn val="ctr"/>
        <c:lblOffset val="100"/>
        <c:tickLblSkip val="1"/>
        <c:tickMarkSkip val="1"/>
      </c:catAx>
      <c:valAx>
        <c:axId val="1525555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sr-Latn-RS"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545536"/>
        <c:crosses val="autoZero"/>
        <c:crossBetween val="between"/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12700">
          <a:solidFill>
            <a:srgbClr val="FFFFFF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11" r="0.750000000000001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54</xdr:row>
      <xdr:rowOff>104775</xdr:rowOff>
    </xdr:from>
    <xdr:to>
      <xdr:col>12</xdr:col>
      <xdr:colOff>0</xdr:colOff>
      <xdr:row>90</xdr:row>
      <xdr:rowOff>38100</xdr:rowOff>
    </xdr:to>
    <xdr:graphicFrame macro="">
      <xdr:nvGraphicFramePr>
        <xdr:cNvPr id="2583" name="Chart 5">
          <a:extLst>
            <a:ext uri="{FF2B5EF4-FFF2-40B4-BE49-F238E27FC236}">
              <a16:creationId xmlns:a16="http://schemas.microsoft.com/office/drawing/2014/main" xmlns="" id="{42759805-D81B-7ECF-6B40-20C41133C2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28575</xdr:colOff>
      <xdr:row>30</xdr:row>
      <xdr:rowOff>104775</xdr:rowOff>
    </xdr:from>
    <xdr:to>
      <xdr:col>12</xdr:col>
      <xdr:colOff>19050</xdr:colOff>
      <xdr:row>52</xdr:row>
      <xdr:rowOff>76200</xdr:rowOff>
    </xdr:to>
    <xdr:graphicFrame macro="">
      <xdr:nvGraphicFramePr>
        <xdr:cNvPr id="2584" name="Chart 6">
          <a:extLst>
            <a:ext uri="{FF2B5EF4-FFF2-40B4-BE49-F238E27FC236}">
              <a16:creationId xmlns:a16="http://schemas.microsoft.com/office/drawing/2014/main" xmlns="" id="{7A7769EC-0FC6-79A1-BBAA-C3C028EDF0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0</xdr:row>
      <xdr:rowOff>152400</xdr:rowOff>
    </xdr:from>
    <xdr:to>
      <xdr:col>2</xdr:col>
      <xdr:colOff>9525</xdr:colOff>
      <xdr:row>4</xdr:row>
      <xdr:rowOff>57150</xdr:rowOff>
    </xdr:to>
    <xdr:pic>
      <xdr:nvPicPr>
        <xdr:cNvPr id="2585" name="Picture 1" descr="Logo-Institut-nov-mali-color">
          <a:extLst>
            <a:ext uri="{FF2B5EF4-FFF2-40B4-BE49-F238E27FC236}">
              <a16:creationId xmlns:a16="http://schemas.microsoft.com/office/drawing/2014/main" xmlns="" id="{77A0BD64-2C82-4DA2-43B7-19A035D9C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152400"/>
          <a:ext cx="5524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104</xdr:row>
      <xdr:rowOff>57150</xdr:rowOff>
    </xdr:from>
    <xdr:to>
      <xdr:col>10</xdr:col>
      <xdr:colOff>704850</xdr:colOff>
      <xdr:row>152</xdr:row>
      <xdr:rowOff>0</xdr:rowOff>
    </xdr:to>
    <xdr:graphicFrame macro="">
      <xdr:nvGraphicFramePr>
        <xdr:cNvPr id="1559" name="Chart 1">
          <a:extLst>
            <a:ext uri="{FF2B5EF4-FFF2-40B4-BE49-F238E27FC236}">
              <a16:creationId xmlns:a16="http://schemas.microsoft.com/office/drawing/2014/main" xmlns="" id="{426F41F8-C0B8-54F3-734E-3D36622F55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75</xdr:row>
      <xdr:rowOff>85725</xdr:rowOff>
    </xdr:from>
    <xdr:to>
      <xdr:col>10</xdr:col>
      <xdr:colOff>523875</xdr:colOff>
      <xdr:row>100</xdr:row>
      <xdr:rowOff>28575</xdr:rowOff>
    </xdr:to>
    <xdr:graphicFrame macro="">
      <xdr:nvGraphicFramePr>
        <xdr:cNvPr id="1560" name="Chart 2">
          <a:extLst>
            <a:ext uri="{FF2B5EF4-FFF2-40B4-BE49-F238E27FC236}">
              <a16:creationId xmlns:a16="http://schemas.microsoft.com/office/drawing/2014/main" xmlns="" id="{00282C62-900A-E5F2-29CC-FD6BE280BF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0</xdr:row>
      <xdr:rowOff>152400</xdr:rowOff>
    </xdr:from>
    <xdr:to>
      <xdr:col>2</xdr:col>
      <xdr:colOff>9525</xdr:colOff>
      <xdr:row>4</xdr:row>
      <xdr:rowOff>57150</xdr:rowOff>
    </xdr:to>
    <xdr:pic>
      <xdr:nvPicPr>
        <xdr:cNvPr id="1561" name="Picture 1" descr="Logo-Institut-nov-mali-color">
          <a:extLst>
            <a:ext uri="{FF2B5EF4-FFF2-40B4-BE49-F238E27FC236}">
              <a16:creationId xmlns:a16="http://schemas.microsoft.com/office/drawing/2014/main" xmlns="" id="{96EBB8CF-1708-B9A7-A0D4-9D171B8E0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152400"/>
          <a:ext cx="590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workbookViewId="0">
      <selection activeCell="A11" sqref="A11:J11"/>
    </sheetView>
  </sheetViews>
  <sheetFormatPr defaultRowHeight="15"/>
  <cols>
    <col min="1" max="1" width="15.140625" customWidth="1"/>
    <col min="8" max="8" width="9.140625" customWidth="1"/>
    <col min="9" max="9" width="11.85546875" customWidth="1"/>
  </cols>
  <sheetData>
    <row r="1" spans="1:10" ht="18.75">
      <c r="A1" s="1"/>
    </row>
    <row r="2" spans="1:10" ht="18.75">
      <c r="A2" s="79" t="s">
        <v>0</v>
      </c>
      <c r="B2" s="79"/>
      <c r="C2" s="79"/>
      <c r="D2" s="79"/>
      <c r="E2" s="79"/>
    </row>
    <row r="3" spans="1:10" ht="18.75">
      <c r="A3" s="79" t="s">
        <v>1</v>
      </c>
      <c r="B3" s="79"/>
      <c r="C3" s="79"/>
      <c r="D3" s="79"/>
      <c r="E3" s="79"/>
    </row>
    <row r="4" spans="1:10">
      <c r="A4" s="80" t="s">
        <v>2</v>
      </c>
      <c r="B4" s="80"/>
      <c r="C4" s="80"/>
      <c r="D4" s="80"/>
      <c r="E4" s="80"/>
    </row>
    <row r="5" spans="1:10">
      <c r="A5" s="81" t="s">
        <v>3</v>
      </c>
      <c r="B5" s="81"/>
      <c r="C5" s="81"/>
      <c r="D5" s="81"/>
      <c r="E5" s="81"/>
    </row>
    <row r="6" spans="1:10">
      <c r="A6" s="2"/>
      <c r="B6" s="2"/>
      <c r="C6" s="2"/>
      <c r="D6" s="2"/>
      <c r="E6" s="2"/>
    </row>
    <row r="7" spans="1:10" ht="24">
      <c r="A7" s="58" t="s">
        <v>94</v>
      </c>
      <c r="B7" s="3"/>
      <c r="C7" s="3"/>
      <c r="D7" s="3"/>
      <c r="E7" s="3"/>
    </row>
    <row r="8" spans="1:10">
      <c r="A8" s="59" t="s">
        <v>95</v>
      </c>
      <c r="B8" s="4"/>
      <c r="C8" s="4"/>
      <c r="D8" s="4"/>
      <c r="E8" s="4"/>
    </row>
    <row r="9" spans="1:10" ht="15.75" thickBot="1">
      <c r="A9" s="82"/>
      <c r="B9" s="82"/>
      <c r="C9" s="82"/>
      <c r="D9" s="82"/>
      <c r="E9" s="82"/>
      <c r="F9" s="5"/>
      <c r="G9" s="5"/>
      <c r="H9" s="5"/>
      <c r="I9" s="5"/>
      <c r="J9" s="6"/>
    </row>
    <row r="10" spans="1:10" ht="59.25" customHeight="1">
      <c r="A10" s="83" t="s">
        <v>93</v>
      </c>
      <c r="B10" s="83"/>
      <c r="C10" s="83"/>
      <c r="D10" s="83"/>
      <c r="E10" s="83"/>
      <c r="F10" s="83"/>
      <c r="G10" s="83"/>
      <c r="H10" s="83"/>
      <c r="I10" s="83"/>
      <c r="J10" s="83"/>
    </row>
    <row r="11" spans="1:10" ht="33.75">
      <c r="A11" s="78" t="s">
        <v>4</v>
      </c>
      <c r="B11" s="78"/>
      <c r="C11" s="78"/>
      <c r="D11" s="78"/>
      <c r="E11" s="78"/>
      <c r="F11" s="78"/>
      <c r="G11" s="78"/>
      <c r="H11" s="78"/>
      <c r="I11" s="78"/>
      <c r="J11" s="78"/>
    </row>
    <row r="12" spans="1:10" ht="33.75">
      <c r="A12" s="78" t="s">
        <v>88</v>
      </c>
      <c r="B12" s="78"/>
      <c r="C12" s="78"/>
      <c r="D12" s="78"/>
      <c r="E12" s="78"/>
      <c r="F12" s="78"/>
      <c r="G12" s="78"/>
      <c r="H12" s="78"/>
      <c r="I12" s="78"/>
    </row>
    <row r="45" spans="1:9" ht="15.75" thickBot="1"/>
    <row r="46" spans="1:9">
      <c r="A46" s="7"/>
      <c r="B46" s="7"/>
      <c r="C46" s="7"/>
      <c r="D46" s="7"/>
      <c r="E46" s="7"/>
      <c r="F46" s="7"/>
      <c r="G46" s="7"/>
      <c r="H46" s="7"/>
      <c r="I46" s="7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mergeCells count="8">
    <mergeCell ref="A11:J11"/>
    <mergeCell ref="A12:I12"/>
    <mergeCell ref="A2:E2"/>
    <mergeCell ref="A3:E3"/>
    <mergeCell ref="A4:E4"/>
    <mergeCell ref="A5:E5"/>
    <mergeCell ref="A9:E9"/>
    <mergeCell ref="A10:J10"/>
  </mergeCells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95"/>
  <sheetViews>
    <sheetView showGridLines="0" topLeftCell="B10" workbookViewId="0">
      <selection activeCell="M23" sqref="M23"/>
    </sheetView>
  </sheetViews>
  <sheetFormatPr defaultColWidth="8" defaultRowHeight="12"/>
  <cols>
    <col min="1" max="1" width="2.140625" style="10" customWidth="1"/>
    <col min="2" max="2" width="7.85546875" style="10" customWidth="1"/>
    <col min="3" max="3" width="38.140625" style="10" customWidth="1"/>
    <col min="4" max="4" width="13.42578125" style="10" bestFit="1" customWidth="1"/>
    <col min="5" max="5" width="12.5703125" style="10" customWidth="1"/>
    <col min="6" max="6" width="13.85546875" style="10" customWidth="1"/>
    <col min="7" max="7" width="13.28515625" style="10" customWidth="1"/>
    <col min="8" max="9" width="13" style="10" customWidth="1"/>
    <col min="10" max="11" width="11.140625" style="10" bestFit="1" customWidth="1"/>
    <col min="12" max="12" width="9.85546875" style="10" customWidth="1"/>
    <col min="13" max="13" width="11.42578125" style="10" bestFit="1" customWidth="1"/>
    <col min="14" max="14" width="12.85546875" style="10" bestFit="1" customWidth="1"/>
    <col min="15" max="16384" width="8" style="10"/>
  </cols>
  <sheetData>
    <row r="2" spans="2:12" ht="18">
      <c r="B2" s="29"/>
      <c r="C2" s="8" t="s">
        <v>5</v>
      </c>
      <c r="D2" s="9"/>
      <c r="E2" s="9"/>
      <c r="F2" s="9"/>
      <c r="G2" s="9"/>
      <c r="H2" s="9"/>
      <c r="I2" s="29"/>
    </row>
    <row r="3" spans="2:12" ht="15">
      <c r="B3" s="29"/>
      <c r="C3" s="8" t="s">
        <v>6</v>
      </c>
      <c r="D3" s="29"/>
      <c r="E3" s="29"/>
      <c r="F3" s="29"/>
      <c r="G3" s="29"/>
      <c r="H3" s="29"/>
      <c r="I3" s="29"/>
    </row>
    <row r="4" spans="2:12" ht="15">
      <c r="B4" s="29"/>
      <c r="C4" s="29"/>
      <c r="D4" s="29"/>
      <c r="E4" s="29"/>
      <c r="F4" s="29"/>
      <c r="G4" s="29"/>
      <c r="H4" s="29"/>
      <c r="I4" s="29"/>
    </row>
    <row r="5" spans="2:12" ht="15">
      <c r="B5" s="29"/>
      <c r="C5" s="60" t="str">
        <f>ПОЧЕТНА!A7</f>
        <v>Број: 1524-_____/22</v>
      </c>
      <c r="D5" s="29"/>
      <c r="E5" s="29"/>
      <c r="F5" s="29"/>
      <c r="G5" s="29"/>
      <c r="H5" s="29"/>
      <c r="I5" s="29"/>
    </row>
    <row r="6" spans="2:12" ht="15">
      <c r="B6" s="29"/>
      <c r="C6" s="29"/>
      <c r="D6" s="29"/>
      <c r="E6" s="29"/>
      <c r="F6" s="29"/>
      <c r="G6" s="29"/>
      <c r="H6" s="29"/>
      <c r="I6" s="29"/>
    </row>
    <row r="7" spans="2:12" ht="18">
      <c r="B7" s="29"/>
      <c r="C7" s="29"/>
      <c r="D7" s="11"/>
      <c r="E7" s="11"/>
      <c r="F7" s="11"/>
      <c r="G7" s="11"/>
      <c r="H7" s="11"/>
      <c r="I7" s="11"/>
    </row>
    <row r="8" spans="2:12" ht="15.75">
      <c r="B8" s="29"/>
      <c r="C8" s="29"/>
      <c r="D8" s="12"/>
      <c r="E8" s="12"/>
      <c r="F8" s="12"/>
      <c r="G8" s="12"/>
      <c r="H8" s="12"/>
      <c r="I8" s="12"/>
    </row>
    <row r="9" spans="2:12" ht="15">
      <c r="B9" s="86" t="s">
        <v>140</v>
      </c>
      <c r="C9" s="86"/>
      <c r="D9" s="86"/>
      <c r="E9" s="86"/>
      <c r="F9" s="86"/>
      <c r="G9" s="86"/>
      <c r="H9" s="86"/>
      <c r="I9" s="86"/>
      <c r="J9" s="86"/>
      <c r="K9" s="86"/>
      <c r="L9" s="86"/>
    </row>
    <row r="10" spans="2:12" ht="15">
      <c r="B10" s="87" t="s">
        <v>89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</row>
    <row r="12" spans="2:12" ht="15">
      <c r="B12" s="88" t="s">
        <v>90</v>
      </c>
      <c r="C12" s="88"/>
      <c r="D12" s="88"/>
      <c r="E12" s="88"/>
      <c r="F12" s="88"/>
      <c r="G12" s="88"/>
      <c r="H12" s="88"/>
      <c r="I12" s="88"/>
      <c r="J12" s="88"/>
      <c r="K12" s="88"/>
      <c r="L12" s="88"/>
    </row>
    <row r="13" spans="2:12" ht="15">
      <c r="E13" s="13"/>
      <c r="F13" s="13"/>
      <c r="G13" s="13"/>
      <c r="H13" s="13"/>
      <c r="I13" s="13"/>
      <c r="K13" s="89" t="s">
        <v>7</v>
      </c>
      <c r="L13" s="89"/>
    </row>
    <row r="14" spans="2:12" ht="15" customHeight="1">
      <c r="B14" s="90" t="s">
        <v>8</v>
      </c>
      <c r="C14" s="91" t="s">
        <v>9</v>
      </c>
      <c r="D14" s="92" t="s">
        <v>10</v>
      </c>
      <c r="E14" s="93"/>
      <c r="F14" s="93"/>
      <c r="G14" s="93"/>
      <c r="H14" s="93"/>
      <c r="I14" s="93"/>
      <c r="J14" s="93"/>
      <c r="K14" s="94"/>
      <c r="L14" s="90" t="s">
        <v>11</v>
      </c>
    </row>
    <row r="15" spans="2:12" ht="12.75" customHeight="1">
      <c r="B15" s="90"/>
      <c r="C15" s="91"/>
      <c r="D15" s="90" t="s">
        <v>12</v>
      </c>
      <c r="E15" s="91" t="s">
        <v>13</v>
      </c>
      <c r="F15" s="91"/>
      <c r="G15" s="91"/>
      <c r="H15" s="91"/>
      <c r="I15" s="90" t="s">
        <v>14</v>
      </c>
      <c r="J15" s="90" t="s">
        <v>15</v>
      </c>
      <c r="K15" s="90" t="s">
        <v>16</v>
      </c>
      <c r="L15" s="91"/>
    </row>
    <row r="16" spans="2:12" ht="27" customHeight="1">
      <c r="B16" s="90"/>
      <c r="C16" s="91"/>
      <c r="D16" s="90"/>
      <c r="E16" s="14" t="s">
        <v>17</v>
      </c>
      <c r="F16" s="14" t="s">
        <v>18</v>
      </c>
      <c r="G16" s="14" t="s">
        <v>19</v>
      </c>
      <c r="H16" s="14" t="s">
        <v>20</v>
      </c>
      <c r="I16" s="90"/>
      <c r="J16" s="90"/>
      <c r="K16" s="90"/>
      <c r="L16" s="91"/>
    </row>
    <row r="17" spans="2:14" ht="35.25" customHeight="1">
      <c r="B17" s="51">
        <v>7321</v>
      </c>
      <c r="C17" s="52" t="s">
        <v>21</v>
      </c>
      <c r="D17" s="53">
        <f>SUM(E17:K17)</f>
        <v>0</v>
      </c>
      <c r="E17" s="54"/>
      <c r="F17" s="54"/>
      <c r="G17" s="54"/>
      <c r="H17" s="54"/>
      <c r="I17" s="54"/>
      <c r="J17" s="54"/>
      <c r="K17" s="54"/>
      <c r="L17" s="55">
        <f t="shared" ref="L17:L26" si="0">D17/$D$26*100</f>
        <v>0</v>
      </c>
    </row>
    <row r="18" spans="2:14" ht="35.25" customHeight="1">
      <c r="B18" s="51">
        <v>7414</v>
      </c>
      <c r="C18" s="52" t="s">
        <v>77</v>
      </c>
      <c r="D18" s="53">
        <f>SUM(E18:K18)</f>
        <v>37547000</v>
      </c>
      <c r="E18" s="54"/>
      <c r="F18" s="54"/>
      <c r="G18" s="54"/>
      <c r="H18" s="54">
        <v>37547000</v>
      </c>
      <c r="I18" s="54"/>
      <c r="J18" s="54"/>
      <c r="K18" s="54"/>
      <c r="L18" s="55">
        <f t="shared" si="0"/>
        <v>0.45933668380437193</v>
      </c>
    </row>
    <row r="19" spans="2:14" ht="35.25" customHeight="1">
      <c r="B19" s="51">
        <v>7421</v>
      </c>
      <c r="C19" s="52" t="s">
        <v>85</v>
      </c>
      <c r="D19" s="53">
        <f>SUM(E19:K19)</f>
        <v>1500000</v>
      </c>
      <c r="E19" s="54"/>
      <c r="F19" s="54"/>
      <c r="G19" s="54"/>
      <c r="H19" s="54"/>
      <c r="I19" s="54"/>
      <c r="J19" s="54">
        <v>1500000</v>
      </c>
      <c r="K19" s="54"/>
      <c r="L19" s="55">
        <f t="shared" si="0"/>
        <v>1.835046809882435E-2</v>
      </c>
    </row>
    <row r="20" spans="2:14" ht="35.25" customHeight="1">
      <c r="B20" s="51">
        <v>7423</v>
      </c>
      <c r="C20" s="52" t="s">
        <v>22</v>
      </c>
      <c r="D20" s="53">
        <f t="shared" ref="D20:D26" si="1">SUM(E20:K20)</f>
        <v>59985000</v>
      </c>
      <c r="E20" s="54"/>
      <c r="F20" s="54"/>
      <c r="G20" s="54"/>
      <c r="H20" s="54"/>
      <c r="I20" s="54"/>
      <c r="J20" s="69">
        <f>60232000-244000-3000</f>
        <v>59985000</v>
      </c>
      <c r="K20" s="54"/>
      <c r="L20" s="55">
        <f t="shared" si="0"/>
        <v>0.73383521927198581</v>
      </c>
      <c r="M20" s="72">
        <v>-247000</v>
      </c>
    </row>
    <row r="21" spans="2:14" ht="35.25" customHeight="1">
      <c r="B21" s="51">
        <v>7441</v>
      </c>
      <c r="C21" s="52" t="s">
        <v>23</v>
      </c>
      <c r="D21" s="53">
        <f t="shared" si="1"/>
        <v>5336000</v>
      </c>
      <c r="E21" s="54"/>
      <c r="F21" s="54"/>
      <c r="G21" s="54"/>
      <c r="H21" s="54"/>
      <c r="I21" s="54">
        <v>5336000</v>
      </c>
      <c r="J21" s="54"/>
      <c r="K21" s="54"/>
      <c r="L21" s="55">
        <f t="shared" si="0"/>
        <v>6.5278731850217819E-2</v>
      </c>
    </row>
    <row r="22" spans="2:14" ht="35.25" customHeight="1">
      <c r="B22" s="51">
        <v>7451</v>
      </c>
      <c r="C22" s="52" t="s">
        <v>24</v>
      </c>
      <c r="D22" s="53">
        <f t="shared" si="1"/>
        <v>7262000</v>
      </c>
      <c r="E22" s="54"/>
      <c r="F22" s="54"/>
      <c r="G22" s="54"/>
      <c r="H22" s="54">
        <v>4862000</v>
      </c>
      <c r="I22" s="54"/>
      <c r="J22" s="69">
        <f>555000+1600000+245000</f>
        <v>2400000</v>
      </c>
      <c r="K22" s="54"/>
      <c r="L22" s="55">
        <f t="shared" si="0"/>
        <v>8.8840732889108279E-2</v>
      </c>
      <c r="M22" s="72">
        <v>245000</v>
      </c>
    </row>
    <row r="23" spans="2:14" ht="35.25" customHeight="1">
      <c r="B23" s="51">
        <v>7711</v>
      </c>
      <c r="C23" s="52" t="s">
        <v>78</v>
      </c>
      <c r="D23" s="53">
        <f t="shared" si="1"/>
        <v>0</v>
      </c>
      <c r="E23" s="54"/>
      <c r="F23" s="54"/>
      <c r="G23" s="54"/>
      <c r="H23" s="54"/>
      <c r="I23" s="54"/>
      <c r="J23" s="54"/>
      <c r="K23" s="54"/>
      <c r="L23" s="55">
        <f t="shared" si="0"/>
        <v>0</v>
      </c>
    </row>
    <row r="24" spans="2:14" ht="35.25" customHeight="1">
      <c r="B24" s="51">
        <v>7811</v>
      </c>
      <c r="C24" s="52" t="s">
        <v>25</v>
      </c>
      <c r="D24" s="53">
        <f t="shared" si="1"/>
        <v>4248500000</v>
      </c>
      <c r="E24" s="54"/>
      <c r="F24" s="54"/>
      <c r="G24" s="54"/>
      <c r="H24" s="67">
        <f>3374918000+289248000+232112000+137078000</f>
        <v>4033356000</v>
      </c>
      <c r="I24" s="54"/>
      <c r="J24" s="54"/>
      <c r="K24" s="54">
        <v>215144000</v>
      </c>
      <c r="L24" s="55">
        <f t="shared" si="0"/>
        <v>51.974642478570168</v>
      </c>
      <c r="M24" s="72"/>
      <c r="N24" s="70"/>
    </row>
    <row r="25" spans="2:14" ht="35.25" customHeight="1">
      <c r="B25" s="51">
        <v>7911</v>
      </c>
      <c r="C25" s="52" t="s">
        <v>13</v>
      </c>
      <c r="D25" s="53">
        <f>SUM(E25:K25)</f>
        <v>3814048402</v>
      </c>
      <c r="E25" s="54">
        <f>2318000+500000</f>
        <v>2818000</v>
      </c>
      <c r="F25" s="54">
        <f>3236269000+6784272+900000+83084350+30812580+445247000+864000+6527200</f>
        <v>3810488402</v>
      </c>
      <c r="G25" s="54">
        <v>742000</v>
      </c>
      <c r="H25" s="54"/>
      <c r="I25" s="54"/>
      <c r="J25" s="54"/>
      <c r="K25" s="54"/>
      <c r="L25" s="55">
        <f t="shared" si="0"/>
        <v>46.659715685515323</v>
      </c>
      <c r="M25" s="62"/>
    </row>
    <row r="26" spans="2:14" ht="24" customHeight="1">
      <c r="B26" s="56" t="s">
        <v>26</v>
      </c>
      <c r="C26" s="56"/>
      <c r="D26" s="57">
        <f t="shared" si="1"/>
        <v>8174178402</v>
      </c>
      <c r="E26" s="57">
        <f t="shared" ref="E26:K26" si="2">SUM(E17:E25)</f>
        <v>2818000</v>
      </c>
      <c r="F26" s="57">
        <f t="shared" si="2"/>
        <v>3810488402</v>
      </c>
      <c r="G26" s="57">
        <f t="shared" si="2"/>
        <v>742000</v>
      </c>
      <c r="H26" s="57">
        <f t="shared" si="2"/>
        <v>4075765000</v>
      </c>
      <c r="I26" s="57">
        <f t="shared" si="2"/>
        <v>5336000</v>
      </c>
      <c r="J26" s="57">
        <f t="shared" si="2"/>
        <v>63885000</v>
      </c>
      <c r="K26" s="57">
        <f t="shared" si="2"/>
        <v>215144000</v>
      </c>
      <c r="L26" s="57">
        <f t="shared" si="0"/>
        <v>100</v>
      </c>
    </row>
    <row r="27" spans="2:14" ht="1.5" customHeight="1">
      <c r="B27" s="15" t="s">
        <v>27</v>
      </c>
      <c r="C27" s="15"/>
      <c r="D27" s="16">
        <f>SUM(E27:K27)</f>
        <v>99.999999999999986</v>
      </c>
      <c r="E27" s="17">
        <f>E26/$D$26*100</f>
        <v>3.4474412734991348E-2</v>
      </c>
      <c r="F27" s="17">
        <f t="shared" ref="F27:K27" si="3">F26/$D$26*100</f>
        <v>46.616163907894112</v>
      </c>
      <c r="G27" s="17">
        <f t="shared" si="3"/>
        <v>9.0773648862184451E-3</v>
      </c>
      <c r="H27" s="17">
        <f t="shared" si="3"/>
        <v>49.86146374053655</v>
      </c>
      <c r="I27" s="17">
        <f t="shared" si="3"/>
        <v>6.5278731850217819E-2</v>
      </c>
      <c r="J27" s="17">
        <f t="shared" si="3"/>
        <v>0.78154643632892906</v>
      </c>
      <c r="K27" s="17">
        <f t="shared" si="3"/>
        <v>2.6319954057689774</v>
      </c>
      <c r="L27" s="16"/>
    </row>
    <row r="28" spans="2:14" ht="1.5" customHeight="1">
      <c r="E28" s="14" t="s">
        <v>17</v>
      </c>
      <c r="F28" s="14" t="s">
        <v>18</v>
      </c>
      <c r="G28" s="14" t="s">
        <v>19</v>
      </c>
      <c r="H28" s="14" t="s">
        <v>20</v>
      </c>
      <c r="I28" s="18" t="s">
        <v>14</v>
      </c>
      <c r="J28" s="18" t="s">
        <v>15</v>
      </c>
      <c r="K28" s="18" t="s">
        <v>16</v>
      </c>
      <c r="L28" s="18"/>
    </row>
    <row r="29" spans="2:14">
      <c r="H29" s="70"/>
    </row>
    <row r="30" spans="2:14">
      <c r="H30" s="70"/>
    </row>
    <row r="36" ht="12.75" customHeight="1"/>
    <row r="94" spans="9:12" ht="14.25">
      <c r="I94" s="84" t="s">
        <v>28</v>
      </c>
      <c r="J94" s="84"/>
      <c r="K94" s="84"/>
      <c r="L94" s="84"/>
    </row>
    <row r="95" spans="9:12">
      <c r="I95" s="85"/>
      <c r="J95" s="85"/>
      <c r="K95" s="85"/>
      <c r="L95" s="85"/>
    </row>
  </sheetData>
  <mergeCells count="15">
    <mergeCell ref="I94:L94"/>
    <mergeCell ref="I95:L95"/>
    <mergeCell ref="B9:L9"/>
    <mergeCell ref="B10:L10"/>
    <mergeCell ref="B12:L12"/>
    <mergeCell ref="K13:L13"/>
    <mergeCell ref="B14:B16"/>
    <mergeCell ref="C14:C16"/>
    <mergeCell ref="D14:K14"/>
    <mergeCell ref="L14:L16"/>
    <mergeCell ref="D15:D16"/>
    <mergeCell ref="E15:H15"/>
    <mergeCell ref="I15:I16"/>
    <mergeCell ref="J15:J16"/>
    <mergeCell ref="K15:K16"/>
  </mergeCells>
  <pageMargins left="0.51" right="0.33" top="0.98425196850393704" bottom="0.98425196850393704" header="0.51181102362204722" footer="0.51181102362204722"/>
  <pageSetup paperSize="9" scale="78" fitToHeight="3" orientation="landscape" r:id="rId1"/>
  <headerFooter alignWithMargins="0"/>
  <rowBreaks count="2" manualBreakCount="2">
    <brk id="28" max="16383" man="1"/>
    <brk id="5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P156"/>
  <sheetViews>
    <sheetView showGridLines="0" tabSelected="1" workbookViewId="0">
      <selection activeCell="I42" sqref="I42"/>
    </sheetView>
  </sheetViews>
  <sheetFormatPr defaultColWidth="9" defaultRowHeight="12"/>
  <cols>
    <col min="1" max="1" width="1.85546875" style="31" customWidth="1"/>
    <col min="2" max="2" width="8.7109375" style="31" customWidth="1"/>
    <col min="3" max="3" width="38.42578125" style="31" customWidth="1"/>
    <col min="4" max="4" width="12.42578125" style="31" customWidth="1"/>
    <col min="5" max="5" width="13" style="31" customWidth="1"/>
    <col min="6" max="6" width="13.140625" style="31" customWidth="1"/>
    <col min="7" max="7" width="12.42578125" style="31" customWidth="1"/>
    <col min="8" max="8" width="12" style="31" customWidth="1"/>
    <col min="9" max="9" width="10.7109375" style="31" bestFit="1" customWidth="1"/>
    <col min="10" max="10" width="12.140625" style="31" customWidth="1"/>
    <col min="11" max="11" width="10.7109375" style="31" bestFit="1" customWidth="1"/>
    <col min="12" max="12" width="9" style="31"/>
    <col min="13" max="13" width="10.85546875" style="31" customWidth="1"/>
    <col min="14" max="14" width="9.5703125" style="31" bestFit="1" customWidth="1"/>
    <col min="15" max="16384" width="9" style="31"/>
  </cols>
  <sheetData>
    <row r="2" spans="2:12" ht="18">
      <c r="B2" s="30"/>
      <c r="C2" s="19" t="s">
        <v>5</v>
      </c>
      <c r="D2" s="20"/>
      <c r="E2" s="20"/>
      <c r="F2" s="20"/>
      <c r="G2" s="20"/>
      <c r="H2" s="20"/>
    </row>
    <row r="3" spans="2:12" ht="15">
      <c r="B3" s="30"/>
      <c r="C3" s="19" t="s">
        <v>6</v>
      </c>
      <c r="D3" s="30"/>
      <c r="E3" s="30"/>
      <c r="F3" s="30"/>
      <c r="G3" s="30"/>
      <c r="H3" s="30"/>
    </row>
    <row r="4" spans="2:12" ht="15">
      <c r="B4" s="30"/>
      <c r="C4" s="30"/>
      <c r="D4" s="30"/>
      <c r="E4" s="30"/>
      <c r="F4" s="30"/>
      <c r="G4" s="30"/>
      <c r="H4" s="30"/>
    </row>
    <row r="5" spans="2:12" ht="15">
      <c r="B5" s="30"/>
      <c r="C5" s="60" t="str">
        <f>ПОЧЕТНА!A7</f>
        <v>Број: 1524-_____/22</v>
      </c>
      <c r="D5" s="30"/>
      <c r="E5" s="30"/>
      <c r="F5" s="30"/>
      <c r="G5" s="30"/>
      <c r="H5" s="30"/>
    </row>
    <row r="6" spans="2:12" ht="15">
      <c r="B6" s="30"/>
      <c r="C6" s="30"/>
      <c r="D6" s="30"/>
      <c r="E6" s="30"/>
      <c r="F6" s="30"/>
      <c r="G6" s="30"/>
      <c r="H6" s="30"/>
    </row>
    <row r="7" spans="2:12" ht="15">
      <c r="B7" s="30"/>
      <c r="C7" s="30"/>
      <c r="D7" s="30"/>
      <c r="E7" s="30"/>
      <c r="F7" s="30"/>
      <c r="G7" s="30"/>
      <c r="H7" s="30"/>
    </row>
    <row r="8" spans="2:12" ht="18">
      <c r="B8" s="30"/>
      <c r="C8" s="30"/>
      <c r="D8" s="21"/>
      <c r="E8" s="21"/>
      <c r="F8" s="21"/>
      <c r="G8" s="21"/>
      <c r="H8" s="21"/>
    </row>
    <row r="9" spans="2:12" ht="15.75">
      <c r="B9" s="30"/>
      <c r="C9" s="30"/>
      <c r="D9" s="22"/>
      <c r="E9" s="22"/>
      <c r="F9" s="22"/>
      <c r="G9" s="22"/>
      <c r="H9" s="22"/>
    </row>
    <row r="10" spans="2:12" ht="15">
      <c r="B10" s="95" t="s">
        <v>140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</row>
    <row r="11" spans="2:12" ht="15">
      <c r="B11" s="96" t="s">
        <v>89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</row>
    <row r="12" spans="2:12" s="32" customFormat="1"/>
    <row r="13" spans="2:12" ht="18.75" customHeight="1">
      <c r="B13" s="97" t="s">
        <v>91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</row>
    <row r="14" spans="2:12" ht="21" customHeight="1">
      <c r="K14" s="101" t="s">
        <v>7</v>
      </c>
      <c r="L14" s="101"/>
    </row>
    <row r="15" spans="2:12" ht="12" customHeight="1">
      <c r="B15" s="98" t="s">
        <v>8</v>
      </c>
      <c r="C15" s="103" t="s">
        <v>9</v>
      </c>
      <c r="D15" s="104" t="s">
        <v>29</v>
      </c>
      <c r="E15" s="105"/>
      <c r="F15" s="105"/>
      <c r="G15" s="105"/>
      <c r="H15" s="105"/>
      <c r="I15" s="24"/>
      <c r="J15" s="24"/>
      <c r="K15" s="33"/>
      <c r="L15" s="106" t="s">
        <v>30</v>
      </c>
    </row>
    <row r="16" spans="2:12" ht="26.25" customHeight="1">
      <c r="B16" s="102"/>
      <c r="C16" s="103"/>
      <c r="D16" s="98" t="s">
        <v>12</v>
      </c>
      <c r="E16" s="104" t="s">
        <v>31</v>
      </c>
      <c r="F16" s="105"/>
      <c r="G16" s="105"/>
      <c r="H16" s="109"/>
      <c r="I16" s="98" t="s">
        <v>14</v>
      </c>
      <c r="J16" s="98" t="s">
        <v>15</v>
      </c>
      <c r="K16" s="98" t="s">
        <v>16</v>
      </c>
      <c r="L16" s="107"/>
    </row>
    <row r="17" spans="2:15" ht="26.25" customHeight="1">
      <c r="B17" s="100"/>
      <c r="C17" s="103"/>
      <c r="D17" s="99"/>
      <c r="E17" s="25" t="s">
        <v>17</v>
      </c>
      <c r="F17" s="25" t="s">
        <v>18</v>
      </c>
      <c r="G17" s="25" t="s">
        <v>19</v>
      </c>
      <c r="H17" s="25" t="s">
        <v>20</v>
      </c>
      <c r="I17" s="99"/>
      <c r="J17" s="99"/>
      <c r="K17" s="100"/>
      <c r="L17" s="108"/>
    </row>
    <row r="18" spans="2:15" s="40" customFormat="1" ht="27.75" customHeight="1">
      <c r="B18" s="34">
        <v>4111</v>
      </c>
      <c r="C18" s="35" t="s">
        <v>32</v>
      </c>
      <c r="D18" s="36">
        <f>SUM(E18:K18)</f>
        <v>940662000</v>
      </c>
      <c r="E18" s="37"/>
      <c r="F18" s="36"/>
      <c r="G18" s="71">
        <v>25000</v>
      </c>
      <c r="H18" s="71">
        <f>797888000+131927000</f>
        <v>929815000</v>
      </c>
      <c r="I18" s="36"/>
      <c r="J18" s="71">
        <f>10762000+60000</f>
        <v>10822000</v>
      </c>
      <c r="K18" s="38"/>
      <c r="L18" s="39">
        <f t="shared" ref="L18:L50" si="0">D18/$D$72*100</f>
        <v>11.507725348517541</v>
      </c>
      <c r="M18" s="73">
        <v>10762000</v>
      </c>
      <c r="N18" s="41">
        <f>M18-J18</f>
        <v>-60000</v>
      </c>
    </row>
    <row r="19" spans="2:15" s="40" customFormat="1" ht="24.75" customHeight="1">
      <c r="B19" s="34">
        <v>4121</v>
      </c>
      <c r="C19" s="35" t="s">
        <v>33</v>
      </c>
      <c r="D19" s="36">
        <f t="shared" ref="D19:D71" si="1">SUM(E19:K19)</f>
        <v>109002000</v>
      </c>
      <c r="E19" s="37"/>
      <c r="F19" s="36"/>
      <c r="G19" s="71">
        <v>3000</v>
      </c>
      <c r="H19" s="71">
        <f>96885000+10924000</f>
        <v>107809000</v>
      </c>
      <c r="I19" s="36"/>
      <c r="J19" s="71">
        <f>1184000+6000</f>
        <v>1190000</v>
      </c>
      <c r="K19" s="38"/>
      <c r="L19" s="39">
        <f t="shared" si="0"/>
        <v>1.3334918158053679</v>
      </c>
      <c r="M19" s="73">
        <v>1184000</v>
      </c>
      <c r="N19" s="41">
        <f t="shared" ref="N19:N71" si="2">M19-J19</f>
        <v>-6000</v>
      </c>
      <c r="O19" s="41"/>
    </row>
    <row r="20" spans="2:15" ht="26.25" customHeight="1">
      <c r="B20" s="42">
        <v>4122</v>
      </c>
      <c r="C20" s="35" t="s">
        <v>34</v>
      </c>
      <c r="D20" s="36">
        <f t="shared" si="1"/>
        <v>48446000</v>
      </c>
      <c r="E20" s="37"/>
      <c r="F20" s="36"/>
      <c r="G20" s="71">
        <v>1000</v>
      </c>
      <c r="H20" s="71">
        <f>41107000+6781000</f>
        <v>47888000</v>
      </c>
      <c r="I20" s="36"/>
      <c r="J20" s="71">
        <f>554000+3000</f>
        <v>557000</v>
      </c>
      <c r="K20" s="38"/>
      <c r="L20" s="39">
        <f t="shared" si="0"/>
        <v>0.59267118501042959</v>
      </c>
      <c r="M20" s="73">
        <v>554000</v>
      </c>
      <c r="N20" s="41">
        <f t="shared" si="2"/>
        <v>-3000</v>
      </c>
    </row>
    <row r="21" spans="2:15" ht="26.25" customHeight="1">
      <c r="B21" s="42">
        <v>4123</v>
      </c>
      <c r="C21" s="35" t="s">
        <v>35</v>
      </c>
      <c r="D21" s="36">
        <f t="shared" si="1"/>
        <v>0</v>
      </c>
      <c r="E21" s="37"/>
      <c r="F21" s="36"/>
      <c r="G21" s="36"/>
      <c r="H21" s="36"/>
      <c r="I21" s="36"/>
      <c r="J21" s="36"/>
      <c r="K21" s="38"/>
      <c r="L21" s="39">
        <f t="shared" si="0"/>
        <v>0</v>
      </c>
      <c r="M21" s="40"/>
      <c r="N21" s="41">
        <f t="shared" si="2"/>
        <v>0</v>
      </c>
    </row>
    <row r="22" spans="2:15" ht="26.25" customHeight="1">
      <c r="B22" s="42">
        <v>4131</v>
      </c>
      <c r="C22" s="35" t="s">
        <v>36</v>
      </c>
      <c r="D22" s="36">
        <f t="shared" si="1"/>
        <v>7200000</v>
      </c>
      <c r="E22" s="37"/>
      <c r="F22" s="36"/>
      <c r="G22" s="36"/>
      <c r="H22" s="36">
        <v>5100000</v>
      </c>
      <c r="I22" s="36"/>
      <c r="J22" s="36">
        <v>2100000</v>
      </c>
      <c r="K22" s="38"/>
      <c r="L22" s="39">
        <f t="shared" si="0"/>
        <v>8.8082246874356881E-2</v>
      </c>
      <c r="M22" s="40">
        <v>2100000</v>
      </c>
      <c r="N22" s="41">
        <f t="shared" si="2"/>
        <v>0</v>
      </c>
    </row>
    <row r="23" spans="2:15" ht="24">
      <c r="B23" s="42">
        <v>4141</v>
      </c>
      <c r="C23" s="35" t="s">
        <v>79</v>
      </c>
      <c r="D23" s="36">
        <f t="shared" si="1"/>
        <v>0</v>
      </c>
      <c r="E23" s="37"/>
      <c r="F23" s="36"/>
      <c r="G23" s="36"/>
      <c r="H23" s="36"/>
      <c r="I23" s="36"/>
      <c r="J23" s="36"/>
      <c r="K23" s="38"/>
      <c r="L23" s="39">
        <f t="shared" si="0"/>
        <v>0</v>
      </c>
      <c r="M23" s="40"/>
      <c r="N23" s="41">
        <f t="shared" si="2"/>
        <v>0</v>
      </c>
    </row>
    <row r="24" spans="2:15" ht="26.25" customHeight="1">
      <c r="B24" s="42">
        <v>4143</v>
      </c>
      <c r="C24" s="35" t="s">
        <v>37</v>
      </c>
      <c r="D24" s="36">
        <f t="shared" si="1"/>
        <v>7290000</v>
      </c>
      <c r="E24" s="37"/>
      <c r="F24" s="36"/>
      <c r="G24" s="36"/>
      <c r="H24" s="71">
        <f>7000000+290000</f>
        <v>7290000</v>
      </c>
      <c r="I24" s="36"/>
      <c r="J24" s="36"/>
      <c r="K24" s="38"/>
      <c r="L24" s="39">
        <f t="shared" si="0"/>
        <v>8.918327496028633E-2</v>
      </c>
      <c r="M24" s="40"/>
      <c r="N24" s="41">
        <f t="shared" si="2"/>
        <v>0</v>
      </c>
    </row>
    <row r="25" spans="2:15" ht="26.25" customHeight="1">
      <c r="B25" s="42">
        <v>4144</v>
      </c>
      <c r="C25" s="35" t="s">
        <v>87</v>
      </c>
      <c r="D25" s="36">
        <f t="shared" si="1"/>
        <v>10061000</v>
      </c>
      <c r="E25" s="37"/>
      <c r="F25" s="36"/>
      <c r="G25" s="36"/>
      <c r="H25" s="71">
        <f>10351000-290000</f>
        <v>10061000</v>
      </c>
      <c r="I25" s="36"/>
      <c r="J25" s="36"/>
      <c r="K25" s="38"/>
      <c r="L25" s="39">
        <f t="shared" si="0"/>
        <v>0.12308270636151451</v>
      </c>
      <c r="M25" s="40"/>
      <c r="N25" s="41">
        <f t="shared" si="2"/>
        <v>0</v>
      </c>
    </row>
    <row r="26" spans="2:15" ht="26.25" customHeight="1">
      <c r="B26" s="42">
        <v>4151</v>
      </c>
      <c r="C26" s="35" t="s">
        <v>38</v>
      </c>
      <c r="D26" s="36">
        <f t="shared" si="1"/>
        <v>27100000</v>
      </c>
      <c r="E26" s="37"/>
      <c r="F26" s="36"/>
      <c r="G26" s="36"/>
      <c r="H26" s="71">
        <f>26988000+112000</f>
        <v>27100000</v>
      </c>
      <c r="I26" s="36"/>
      <c r="J26" s="36"/>
      <c r="K26" s="38"/>
      <c r="L26" s="39">
        <f t="shared" si="0"/>
        <v>0.3315317903187599</v>
      </c>
      <c r="M26" s="41"/>
      <c r="N26" s="41">
        <f t="shared" si="2"/>
        <v>0</v>
      </c>
    </row>
    <row r="27" spans="2:15" ht="26.25" customHeight="1">
      <c r="B27" s="42">
        <v>4161</v>
      </c>
      <c r="C27" s="35" t="s">
        <v>39</v>
      </c>
      <c r="D27" s="36">
        <f>SUM(E27:K27)</f>
        <v>11246000</v>
      </c>
      <c r="E27" s="37"/>
      <c r="F27" s="36"/>
      <c r="G27" s="36"/>
      <c r="H27" s="71">
        <f>10206000+940000</f>
        <v>11146000</v>
      </c>
      <c r="I27" s="36"/>
      <c r="J27" s="36">
        <v>100000</v>
      </c>
      <c r="K27" s="38"/>
      <c r="L27" s="39">
        <f t="shared" si="0"/>
        <v>0.13757957615958574</v>
      </c>
      <c r="M27" s="41">
        <v>100000</v>
      </c>
      <c r="N27" s="41">
        <f t="shared" si="2"/>
        <v>0</v>
      </c>
    </row>
    <row r="28" spans="2:15" ht="26.25" customHeight="1">
      <c r="B28" s="42">
        <v>4211</v>
      </c>
      <c r="C28" s="35" t="s">
        <v>40</v>
      </c>
      <c r="D28" s="36">
        <f t="shared" si="1"/>
        <v>6665000</v>
      </c>
      <c r="E28" s="37"/>
      <c r="F28" s="36"/>
      <c r="G28" s="36"/>
      <c r="H28" s="71">
        <f>5200000+1400000</f>
        <v>6600000</v>
      </c>
      <c r="I28" s="36">
        <v>15000</v>
      </c>
      <c r="J28" s="71">
        <f>100000-50000</f>
        <v>50000</v>
      </c>
      <c r="K28" s="38"/>
      <c r="L28" s="39">
        <f t="shared" si="0"/>
        <v>8.1537246585776199E-2</v>
      </c>
      <c r="M28" s="41">
        <v>100000</v>
      </c>
      <c r="N28" s="41">
        <f t="shared" si="2"/>
        <v>50000</v>
      </c>
    </row>
    <row r="29" spans="2:15" ht="26.25" customHeight="1">
      <c r="B29" s="42">
        <v>4212</v>
      </c>
      <c r="C29" s="35" t="s">
        <v>41</v>
      </c>
      <c r="D29" s="36">
        <f t="shared" si="1"/>
        <v>67980000</v>
      </c>
      <c r="E29" s="37"/>
      <c r="F29" s="36"/>
      <c r="G29" s="36"/>
      <c r="H29" s="71">
        <f>57639000+6833000+2358000</f>
        <v>66830000</v>
      </c>
      <c r="I29" s="36"/>
      <c r="J29" s="36">
        <v>1150000</v>
      </c>
      <c r="K29" s="38"/>
      <c r="L29" s="39">
        <f t="shared" si="0"/>
        <v>0.83164321423871945</v>
      </c>
      <c r="M29" s="41">
        <v>1150000</v>
      </c>
      <c r="N29" s="41">
        <f t="shared" si="2"/>
        <v>0</v>
      </c>
    </row>
    <row r="30" spans="2:15" ht="26.25" customHeight="1">
      <c r="B30" s="42">
        <v>4213</v>
      </c>
      <c r="C30" s="35" t="s">
        <v>42</v>
      </c>
      <c r="D30" s="36">
        <f t="shared" si="1"/>
        <v>28550000</v>
      </c>
      <c r="E30" s="37"/>
      <c r="F30" s="36"/>
      <c r="G30" s="36"/>
      <c r="H30" s="71">
        <f>26890000+1400000-270000</f>
        <v>28020000</v>
      </c>
      <c r="I30" s="36"/>
      <c r="J30" s="36">
        <f>330000+200000</f>
        <v>530000</v>
      </c>
      <c r="K30" s="38"/>
      <c r="L30" s="39">
        <f t="shared" si="0"/>
        <v>0.34927057614762347</v>
      </c>
      <c r="M30" s="41">
        <v>530000</v>
      </c>
      <c r="N30" s="41">
        <f t="shared" si="2"/>
        <v>0</v>
      </c>
    </row>
    <row r="31" spans="2:15" ht="26.25" customHeight="1">
      <c r="B31" s="42">
        <v>4214</v>
      </c>
      <c r="C31" s="43" t="s">
        <v>43</v>
      </c>
      <c r="D31" s="36">
        <f t="shared" si="1"/>
        <v>2271000</v>
      </c>
      <c r="E31" s="37"/>
      <c r="F31" s="36"/>
      <c r="G31" s="36"/>
      <c r="H31" s="71">
        <f>1996000+270000</f>
        <v>2266000</v>
      </c>
      <c r="I31" s="36"/>
      <c r="J31" s="36">
        <v>5000</v>
      </c>
      <c r="K31" s="38"/>
      <c r="L31" s="39">
        <f t="shared" si="0"/>
        <v>2.7782608701620068E-2</v>
      </c>
      <c r="M31" s="41">
        <v>5000</v>
      </c>
      <c r="N31" s="41">
        <f t="shared" si="2"/>
        <v>0</v>
      </c>
    </row>
    <row r="32" spans="2:15" ht="26.25" customHeight="1">
      <c r="B32" s="42">
        <v>4215</v>
      </c>
      <c r="C32" s="43" t="s">
        <v>44</v>
      </c>
      <c r="D32" s="36">
        <f t="shared" si="1"/>
        <v>39936600</v>
      </c>
      <c r="E32" s="37"/>
      <c r="F32" s="36"/>
      <c r="G32" s="36"/>
      <c r="H32" s="36">
        <f>42700600+2800000-5564000</f>
        <v>39936600</v>
      </c>
      <c r="I32" s="36"/>
      <c r="J32" s="36"/>
      <c r="K32" s="38"/>
      <c r="L32" s="39">
        <f t="shared" si="0"/>
        <v>0.48857020285033903</v>
      </c>
      <c r="M32" s="41"/>
      <c r="N32" s="41">
        <f t="shared" si="2"/>
        <v>0</v>
      </c>
    </row>
    <row r="33" spans="2:16" ht="26.25" customHeight="1">
      <c r="B33" s="42">
        <v>4219</v>
      </c>
      <c r="C33" s="44" t="s">
        <v>45</v>
      </c>
      <c r="D33" s="36">
        <f t="shared" si="1"/>
        <v>155000</v>
      </c>
      <c r="E33" s="37"/>
      <c r="F33" s="36"/>
      <c r="G33" s="36"/>
      <c r="H33" s="36">
        <v>155000</v>
      </c>
      <c r="I33" s="36"/>
      <c r="J33" s="36"/>
      <c r="K33" s="38"/>
      <c r="L33" s="39">
        <f t="shared" si="0"/>
        <v>1.8962150368785162E-3</v>
      </c>
      <c r="M33" s="40"/>
      <c r="N33" s="41">
        <f t="shared" si="2"/>
        <v>0</v>
      </c>
    </row>
    <row r="34" spans="2:16" ht="26.25" customHeight="1">
      <c r="B34" s="42">
        <v>4221</v>
      </c>
      <c r="C34" s="35" t="s">
        <v>46</v>
      </c>
      <c r="D34" s="36">
        <f t="shared" si="1"/>
        <v>190000</v>
      </c>
      <c r="E34" s="37"/>
      <c r="F34" s="36"/>
      <c r="G34" s="36"/>
      <c r="H34" s="36">
        <v>170000</v>
      </c>
      <c r="I34" s="36"/>
      <c r="J34" s="36">
        <v>20000</v>
      </c>
      <c r="K34" s="38"/>
      <c r="L34" s="39">
        <f t="shared" si="0"/>
        <v>2.3243926258510843E-3</v>
      </c>
      <c r="M34" s="40">
        <v>20000</v>
      </c>
      <c r="N34" s="41">
        <f t="shared" si="2"/>
        <v>0</v>
      </c>
    </row>
    <row r="35" spans="2:16" ht="26.25" customHeight="1">
      <c r="B35" s="42">
        <v>4222</v>
      </c>
      <c r="C35" s="35" t="s">
        <v>47</v>
      </c>
      <c r="D35" s="36">
        <f t="shared" si="1"/>
        <v>1740000</v>
      </c>
      <c r="E35" s="37"/>
      <c r="F35" s="36"/>
      <c r="G35" s="36"/>
      <c r="H35" s="36"/>
      <c r="I35" s="36">
        <v>1240000</v>
      </c>
      <c r="J35" s="36">
        <v>500000</v>
      </c>
      <c r="K35" s="38"/>
      <c r="L35" s="39">
        <f t="shared" si="0"/>
        <v>2.1286542994636247E-2</v>
      </c>
      <c r="M35" s="40">
        <v>500000</v>
      </c>
      <c r="N35" s="41">
        <f t="shared" si="2"/>
        <v>0</v>
      </c>
    </row>
    <row r="36" spans="2:16" ht="26.25" customHeight="1">
      <c r="B36" s="42">
        <v>4231</v>
      </c>
      <c r="C36" s="35" t="s">
        <v>48</v>
      </c>
      <c r="D36" s="36">
        <f t="shared" si="1"/>
        <v>1163000</v>
      </c>
      <c r="E36" s="37"/>
      <c r="F36" s="36"/>
      <c r="G36" s="71">
        <f>692000-29000</f>
        <v>663000</v>
      </c>
      <c r="H36" s="36">
        <v>500000</v>
      </c>
      <c r="I36" s="36"/>
      <c r="J36" s="36"/>
      <c r="K36" s="38"/>
      <c r="L36" s="39">
        <f t="shared" si="0"/>
        <v>1.4227729599288478E-2</v>
      </c>
      <c r="M36" s="40"/>
      <c r="N36" s="41">
        <f t="shared" si="2"/>
        <v>0</v>
      </c>
    </row>
    <row r="37" spans="2:16" ht="26.25" customHeight="1">
      <c r="B37" s="42">
        <v>4232</v>
      </c>
      <c r="C37" s="35" t="s">
        <v>49</v>
      </c>
      <c r="D37" s="36">
        <f t="shared" si="1"/>
        <v>24216400</v>
      </c>
      <c r="E37" s="37"/>
      <c r="F37" s="36"/>
      <c r="G37" s="36"/>
      <c r="H37" s="36">
        <f>23216400+1000000</f>
        <v>24216400</v>
      </c>
      <c r="I37" s="36"/>
      <c r="J37" s="36"/>
      <c r="K37" s="38"/>
      <c r="L37" s="39">
        <f t="shared" si="0"/>
        <v>0.29625485044557998</v>
      </c>
      <c r="M37" s="40"/>
      <c r="N37" s="41">
        <f t="shared" si="2"/>
        <v>0</v>
      </c>
    </row>
    <row r="38" spans="2:16" ht="26.25" customHeight="1">
      <c r="B38" s="42">
        <v>4233</v>
      </c>
      <c r="C38" s="35" t="s">
        <v>50</v>
      </c>
      <c r="D38" s="36">
        <f t="shared" si="1"/>
        <v>11477000</v>
      </c>
      <c r="E38" s="37"/>
      <c r="F38" s="36"/>
      <c r="G38" s="36"/>
      <c r="H38" s="36">
        <v>10562000</v>
      </c>
      <c r="I38" s="71">
        <f>750000-255000</f>
        <v>495000</v>
      </c>
      <c r="J38" s="36">
        <f>90000+330000</f>
        <v>420000</v>
      </c>
      <c r="K38" s="38"/>
      <c r="L38" s="39">
        <f t="shared" si="0"/>
        <v>0.14040554824680471</v>
      </c>
      <c r="M38" s="41">
        <v>420000</v>
      </c>
      <c r="N38" s="41">
        <f t="shared" si="2"/>
        <v>0</v>
      </c>
    </row>
    <row r="39" spans="2:16" ht="26.25" customHeight="1">
      <c r="B39" s="42">
        <v>4234</v>
      </c>
      <c r="C39" s="35" t="s">
        <v>51</v>
      </c>
      <c r="D39" s="36">
        <f t="shared" si="1"/>
        <v>1629600</v>
      </c>
      <c r="E39" s="37"/>
      <c r="F39" s="36"/>
      <c r="G39" s="36"/>
      <c r="H39" s="71">
        <f>500000+60000+360000+16000</f>
        <v>936000</v>
      </c>
      <c r="I39" s="36"/>
      <c r="J39" s="36">
        <v>693600</v>
      </c>
      <c r="K39" s="38"/>
      <c r="L39" s="39">
        <f t="shared" si="0"/>
        <v>1.9935948542562774E-2</v>
      </c>
      <c r="M39" s="40">
        <v>693600</v>
      </c>
      <c r="N39" s="41">
        <f t="shared" si="2"/>
        <v>0</v>
      </c>
    </row>
    <row r="40" spans="2:16" ht="26.25" customHeight="1">
      <c r="B40" s="42">
        <v>4235</v>
      </c>
      <c r="C40" s="35" t="s">
        <v>52</v>
      </c>
      <c r="D40" s="36">
        <f t="shared" si="1"/>
        <v>4674600</v>
      </c>
      <c r="E40" s="37"/>
      <c r="F40" s="71">
        <f>900000+337000</f>
        <v>1237000</v>
      </c>
      <c r="H40" s="71">
        <f>1692000-60000+354000-400000</f>
        <v>1586000</v>
      </c>
      <c r="I40" s="36"/>
      <c r="J40" s="71">
        <f>1406000+459600-14000</f>
        <v>1851600</v>
      </c>
      <c r="K40" s="38"/>
      <c r="L40" s="39">
        <f t="shared" si="0"/>
        <v>5.7187398783176198E-2</v>
      </c>
      <c r="M40" s="41">
        <v>1865600</v>
      </c>
      <c r="N40" s="41">
        <f t="shared" si="2"/>
        <v>14000</v>
      </c>
      <c r="O40" s="66"/>
      <c r="P40" s="66"/>
    </row>
    <row r="41" spans="2:16" ht="26.25" customHeight="1">
      <c r="B41" s="42">
        <v>4236</v>
      </c>
      <c r="C41" s="35" t="s">
        <v>53</v>
      </c>
      <c r="D41" s="36">
        <f t="shared" si="1"/>
        <v>12040000</v>
      </c>
      <c r="E41" s="37"/>
      <c r="F41" s="36"/>
      <c r="G41" s="36"/>
      <c r="H41" s="71">
        <f>11300000+570000</f>
        <v>11870000</v>
      </c>
      <c r="I41" s="36"/>
      <c r="J41" s="71">
        <f>156000+14000</f>
        <v>170000</v>
      </c>
      <c r="K41" s="38"/>
      <c r="L41" s="39">
        <f t="shared" si="0"/>
        <v>0.14729309060656345</v>
      </c>
      <c r="M41" s="41">
        <v>156000</v>
      </c>
      <c r="N41" s="41">
        <f t="shared" si="2"/>
        <v>-14000</v>
      </c>
    </row>
    <row r="42" spans="2:16" ht="26.25" customHeight="1">
      <c r="B42" s="42">
        <v>4237</v>
      </c>
      <c r="C42" s="35" t="s">
        <v>54</v>
      </c>
      <c r="D42" s="36">
        <f t="shared" si="1"/>
        <v>1025000</v>
      </c>
      <c r="E42" s="37"/>
      <c r="F42" s="36"/>
      <c r="G42" s="36"/>
      <c r="H42" s="36"/>
      <c r="I42" s="71">
        <f>40000+255000</f>
        <v>295000</v>
      </c>
      <c r="J42" s="36">
        <v>730000</v>
      </c>
      <c r="K42" s="38"/>
      <c r="L42" s="39">
        <f t="shared" si="0"/>
        <v>1.2539486534196637E-2</v>
      </c>
      <c r="M42" s="41">
        <v>730000</v>
      </c>
      <c r="N42" s="41">
        <f t="shared" si="2"/>
        <v>0</v>
      </c>
    </row>
    <row r="43" spans="2:16" ht="26.25" customHeight="1">
      <c r="B43" s="42">
        <v>4239</v>
      </c>
      <c r="C43" s="35" t="s">
        <v>55</v>
      </c>
      <c r="D43" s="36">
        <f t="shared" si="1"/>
        <v>240000</v>
      </c>
      <c r="E43" s="37"/>
      <c r="F43" s="36"/>
      <c r="G43" s="36"/>
      <c r="H43" s="36">
        <v>240000</v>
      </c>
      <c r="I43" s="36"/>
      <c r="J43" s="36"/>
      <c r="K43" s="38"/>
      <c r="L43" s="39">
        <f t="shared" si="0"/>
        <v>2.9360748958118959E-3</v>
      </c>
      <c r="M43" s="40"/>
      <c r="N43" s="41">
        <f t="shared" si="2"/>
        <v>0</v>
      </c>
    </row>
    <row r="44" spans="2:16" ht="26.25" customHeight="1">
      <c r="B44" s="42">
        <v>4243</v>
      </c>
      <c r="C44" s="35" t="s">
        <v>56</v>
      </c>
      <c r="D44" s="36">
        <f t="shared" si="1"/>
        <v>8035000</v>
      </c>
      <c r="E44" s="37"/>
      <c r="F44" s="36"/>
      <c r="G44" s="36"/>
      <c r="H44" s="71">
        <f>8790000+2195000-3000000</f>
        <v>7985000</v>
      </c>
      <c r="I44" s="36"/>
      <c r="J44" s="36">
        <v>50000</v>
      </c>
      <c r="K44" s="38"/>
      <c r="L44" s="39">
        <f t="shared" si="0"/>
        <v>9.8297340782702441E-2</v>
      </c>
      <c r="M44" s="41">
        <v>50000</v>
      </c>
      <c r="N44" s="41">
        <f t="shared" si="2"/>
        <v>0</v>
      </c>
    </row>
    <row r="45" spans="2:16" ht="26.25" customHeight="1">
      <c r="B45" s="42">
        <v>4246</v>
      </c>
      <c r="C45" s="35" t="s">
        <v>57</v>
      </c>
      <c r="D45" s="36">
        <f t="shared" si="1"/>
        <v>0</v>
      </c>
      <c r="E45" s="37"/>
      <c r="F45" s="36"/>
      <c r="G45" s="36"/>
      <c r="H45" s="36"/>
      <c r="I45" s="36"/>
      <c r="J45" s="36"/>
      <c r="K45" s="38"/>
      <c r="L45" s="39">
        <f t="shared" si="0"/>
        <v>0</v>
      </c>
      <c r="M45" s="40"/>
      <c r="N45" s="41">
        <f t="shared" si="2"/>
        <v>0</v>
      </c>
    </row>
    <row r="46" spans="2:16" ht="26.25" customHeight="1">
      <c r="B46" s="42">
        <v>4249</v>
      </c>
      <c r="C46" s="35" t="s">
        <v>58</v>
      </c>
      <c r="D46" s="36">
        <f t="shared" si="1"/>
        <v>260000</v>
      </c>
      <c r="E46" s="37"/>
      <c r="F46" s="36"/>
      <c r="G46" s="36"/>
      <c r="H46" s="71">
        <v>100000</v>
      </c>
      <c r="I46" s="36"/>
      <c r="J46" s="36">
        <f>30000+130000</f>
        <v>160000</v>
      </c>
      <c r="K46" s="38"/>
      <c r="L46" s="39">
        <f t="shared" si="0"/>
        <v>3.1807478037962204E-3</v>
      </c>
      <c r="M46" s="63">
        <v>160000</v>
      </c>
      <c r="N46" s="41">
        <f t="shared" si="2"/>
        <v>0</v>
      </c>
    </row>
    <row r="47" spans="2:16" ht="26.25" customHeight="1">
      <c r="B47" s="42">
        <v>4251</v>
      </c>
      <c r="C47" s="35" t="s">
        <v>59</v>
      </c>
      <c r="D47" s="36">
        <f t="shared" si="1"/>
        <v>28010000</v>
      </c>
      <c r="E47" s="37"/>
      <c r="F47" s="36"/>
      <c r="G47" s="36"/>
      <c r="H47" s="71">
        <f>29760000-100000-2000000</f>
        <v>27660000</v>
      </c>
      <c r="I47" s="36"/>
      <c r="J47" s="36">
        <f>250000+100000</f>
        <v>350000</v>
      </c>
      <c r="K47" s="38"/>
      <c r="L47" s="39">
        <f t="shared" si="0"/>
        <v>0.3426644076320467</v>
      </c>
      <c r="M47" s="41">
        <v>350000</v>
      </c>
      <c r="N47" s="41">
        <f t="shared" si="2"/>
        <v>0</v>
      </c>
    </row>
    <row r="48" spans="2:16" ht="26.25" customHeight="1">
      <c r="B48" s="42">
        <v>4252</v>
      </c>
      <c r="C48" s="35" t="s">
        <v>60</v>
      </c>
      <c r="D48" s="36">
        <f t="shared" si="1"/>
        <v>89966668</v>
      </c>
      <c r="E48" s="37">
        <f>518000+500000</f>
        <v>1018000</v>
      </c>
      <c r="F48" s="36">
        <f>6784272+29353500</f>
        <v>36137772</v>
      </c>
      <c r="G48" s="36"/>
      <c r="H48" s="71">
        <f>66274000-780000-2195000-354000-360000-454104-360000-2260000-7000000</f>
        <v>52510896</v>
      </c>
      <c r="I48" s="36"/>
      <c r="J48" s="36">
        <f>200000+100000</f>
        <v>300000</v>
      </c>
      <c r="K48" s="38"/>
      <c r="L48" s="39">
        <f t="shared" si="0"/>
        <v>1.1006203140610142</v>
      </c>
      <c r="M48" s="41">
        <v>300000</v>
      </c>
      <c r="N48" s="41">
        <f t="shared" si="2"/>
        <v>0</v>
      </c>
    </row>
    <row r="49" spans="2:14" ht="26.25" customHeight="1">
      <c r="B49" s="42">
        <v>4261</v>
      </c>
      <c r="C49" s="35" t="s">
        <v>61</v>
      </c>
      <c r="D49" s="36">
        <f t="shared" si="1"/>
        <v>14468000</v>
      </c>
      <c r="E49" s="37"/>
      <c r="F49" s="36"/>
      <c r="G49" s="36">
        <v>50000</v>
      </c>
      <c r="H49" s="36">
        <f>13387000+1031000</f>
        <v>14418000</v>
      </c>
      <c r="I49" s="36"/>
      <c r="J49" s="36"/>
      <c r="K49" s="38"/>
      <c r="L49" s="39">
        <f t="shared" si="0"/>
        <v>0.17699638163586046</v>
      </c>
      <c r="M49" s="40"/>
      <c r="N49" s="41">
        <f t="shared" si="2"/>
        <v>0</v>
      </c>
    </row>
    <row r="50" spans="2:14" ht="26.25" customHeight="1">
      <c r="B50" s="42">
        <v>4263</v>
      </c>
      <c r="C50" s="35" t="s">
        <v>62</v>
      </c>
      <c r="D50" s="36">
        <f t="shared" si="1"/>
        <v>350000</v>
      </c>
      <c r="E50" s="37"/>
      <c r="F50" s="36"/>
      <c r="G50" s="36"/>
      <c r="H50" s="36">
        <v>350000</v>
      </c>
      <c r="I50" s="36"/>
      <c r="J50" s="36"/>
      <c r="K50" s="38"/>
      <c r="L50" s="39">
        <f t="shared" si="0"/>
        <v>4.2817758897256818E-3</v>
      </c>
      <c r="M50" s="40"/>
      <c r="N50" s="41">
        <f t="shared" si="2"/>
        <v>0</v>
      </c>
    </row>
    <row r="51" spans="2:14" ht="26.25" customHeight="1">
      <c r="B51" s="42">
        <v>4264</v>
      </c>
      <c r="C51" s="35" t="s">
        <v>63</v>
      </c>
      <c r="D51" s="36">
        <f t="shared" si="1"/>
        <v>835000</v>
      </c>
      <c r="E51" s="37"/>
      <c r="F51" s="36"/>
      <c r="G51" s="36"/>
      <c r="H51" s="71">
        <f>800000+35000</f>
        <v>835000</v>
      </c>
      <c r="I51" s="36"/>
      <c r="J51" s="36"/>
      <c r="K51" s="38"/>
      <c r="L51" s="39">
        <f t="shared" ref="L51:L72" si="3">D51/$D$72*100</f>
        <v>1.0215093908345555E-2</v>
      </c>
      <c r="M51" s="40"/>
      <c r="N51" s="41">
        <f t="shared" si="2"/>
        <v>0</v>
      </c>
    </row>
    <row r="52" spans="2:14" ht="26.25" customHeight="1">
      <c r="B52" s="42">
        <v>4265</v>
      </c>
      <c r="C52" s="35" t="s">
        <v>64</v>
      </c>
      <c r="D52" s="36">
        <f t="shared" si="1"/>
        <v>365000</v>
      </c>
      <c r="E52" s="37"/>
      <c r="F52" s="36"/>
      <c r="G52" s="36"/>
      <c r="H52" s="71">
        <f>400000-35000</f>
        <v>365000</v>
      </c>
      <c r="I52" s="36"/>
      <c r="J52" s="36"/>
      <c r="K52" s="38"/>
      <c r="L52" s="39">
        <f t="shared" si="3"/>
        <v>4.4652805707139252E-3</v>
      </c>
      <c r="M52" s="40"/>
      <c r="N52" s="41">
        <f t="shared" si="2"/>
        <v>0</v>
      </c>
    </row>
    <row r="53" spans="2:14" ht="26.25" customHeight="1">
      <c r="B53" s="42">
        <v>4267</v>
      </c>
      <c r="C53" s="35" t="s">
        <v>65</v>
      </c>
      <c r="D53" s="36">
        <f t="shared" si="1"/>
        <v>2786743000</v>
      </c>
      <c r="E53" s="37">
        <v>1800000</v>
      </c>
      <c r="F53" s="36"/>
      <c r="G53" s="36"/>
      <c r="H53" s="68">
        <f>2060585000+273752000+232112000</f>
        <v>2566449000</v>
      </c>
      <c r="I53" s="36"/>
      <c r="J53" s="36">
        <v>3350000</v>
      </c>
      <c r="K53" s="38">
        <v>215144000</v>
      </c>
      <c r="L53" s="39">
        <f t="shared" si="3"/>
        <v>34.092025680748044</v>
      </c>
      <c r="M53" s="40">
        <v>3350000</v>
      </c>
      <c r="N53" s="41">
        <f t="shared" si="2"/>
        <v>0</v>
      </c>
    </row>
    <row r="54" spans="2:14" ht="26.25" customHeight="1">
      <c r="B54" s="42">
        <v>4268</v>
      </c>
      <c r="C54" s="35" t="s">
        <v>66</v>
      </c>
      <c r="D54" s="36">
        <f t="shared" si="1"/>
        <v>48743000</v>
      </c>
      <c r="E54" s="37"/>
      <c r="F54" s="36"/>
      <c r="G54" s="36"/>
      <c r="H54" s="71">
        <f>44771000+780000+2432000+360000</f>
        <v>48343000</v>
      </c>
      <c r="I54" s="36"/>
      <c r="J54" s="36">
        <f>300000+100000</f>
        <v>400000</v>
      </c>
      <c r="K54" s="38"/>
      <c r="L54" s="39">
        <f t="shared" si="3"/>
        <v>0.59630457769399681</v>
      </c>
      <c r="M54" s="41">
        <v>400000</v>
      </c>
      <c r="N54" s="41">
        <f t="shared" si="2"/>
        <v>0</v>
      </c>
    </row>
    <row r="55" spans="2:14" ht="26.25" customHeight="1">
      <c r="B55" s="42">
        <v>4269</v>
      </c>
      <c r="C55" s="35" t="s">
        <v>67</v>
      </c>
      <c r="D55" s="36">
        <f t="shared" si="1"/>
        <v>13979448</v>
      </c>
      <c r="E55" s="37"/>
      <c r="F55" s="36">
        <f>1459080+2726264+193000</f>
        <v>4378344</v>
      </c>
      <c r="G55" s="36"/>
      <c r="H55" s="71">
        <f>6774000+454104+2253000</f>
        <v>9481104</v>
      </c>
      <c r="I55" s="36">
        <v>100000</v>
      </c>
      <c r="J55" s="36">
        <v>20000</v>
      </c>
      <c r="K55" s="38"/>
      <c r="L55" s="39">
        <f t="shared" si="3"/>
        <v>0.17101960970878255</v>
      </c>
      <c r="M55" s="41">
        <v>20000</v>
      </c>
      <c r="N55" s="41">
        <f t="shared" si="2"/>
        <v>0</v>
      </c>
    </row>
    <row r="56" spans="2:14" ht="26.25" customHeight="1">
      <c r="B56" s="42">
        <v>4441</v>
      </c>
      <c r="C56" s="43" t="s">
        <v>68</v>
      </c>
      <c r="D56" s="36">
        <f t="shared" si="1"/>
        <v>50000</v>
      </c>
      <c r="E56" s="37"/>
      <c r="F56" s="36"/>
      <c r="G56" s="36"/>
      <c r="H56" s="36"/>
      <c r="I56" s="36"/>
      <c r="J56" s="36">
        <v>50000</v>
      </c>
      <c r="K56" s="38"/>
      <c r="L56" s="39">
        <f t="shared" si="3"/>
        <v>6.1168226996081163E-4</v>
      </c>
      <c r="M56" s="40">
        <v>50000</v>
      </c>
      <c r="N56" s="41">
        <f t="shared" si="2"/>
        <v>0</v>
      </c>
    </row>
    <row r="57" spans="2:14" ht="26.25" customHeight="1">
      <c r="B57" s="42">
        <v>4442</v>
      </c>
      <c r="C57" s="43" t="s">
        <v>86</v>
      </c>
      <c r="D57" s="36">
        <f t="shared" si="1"/>
        <v>220000</v>
      </c>
      <c r="E57" s="37"/>
      <c r="F57" s="36"/>
      <c r="G57" s="36"/>
      <c r="H57" s="71">
        <v>21000</v>
      </c>
      <c r="I57" s="71"/>
      <c r="J57" s="71">
        <f>100000+120000-21000</f>
        <v>199000</v>
      </c>
      <c r="K57" s="38"/>
      <c r="L57" s="39">
        <f t="shared" si="3"/>
        <v>2.6914019878275714E-3</v>
      </c>
      <c r="M57" s="40">
        <v>220000</v>
      </c>
      <c r="N57" s="41">
        <f t="shared" si="2"/>
        <v>21000</v>
      </c>
    </row>
    <row r="58" spans="2:14" ht="26.25" customHeight="1">
      <c r="B58" s="42">
        <v>4651</v>
      </c>
      <c r="C58" s="43" t="s">
        <v>83</v>
      </c>
      <c r="D58" s="36">
        <f t="shared" si="1"/>
        <v>6156000</v>
      </c>
      <c r="E58" s="37"/>
      <c r="F58" s="36"/>
      <c r="G58" s="36"/>
      <c r="H58" s="36">
        <v>6156000</v>
      </c>
      <c r="I58" s="36"/>
      <c r="J58" s="36"/>
      <c r="K58" s="38"/>
      <c r="L58" s="39">
        <f t="shared" si="3"/>
        <v>7.5310321077575126E-2</v>
      </c>
      <c r="M58" s="40"/>
      <c r="N58" s="41">
        <f t="shared" si="2"/>
        <v>0</v>
      </c>
    </row>
    <row r="59" spans="2:14" ht="26.25" customHeight="1">
      <c r="B59" s="42">
        <v>4821</v>
      </c>
      <c r="C59" s="44" t="s">
        <v>69</v>
      </c>
      <c r="D59" s="36">
        <f t="shared" si="1"/>
        <v>160000</v>
      </c>
      <c r="E59" s="37"/>
      <c r="F59" s="36"/>
      <c r="G59" s="36"/>
      <c r="H59" s="36">
        <v>120000</v>
      </c>
      <c r="I59" s="36">
        <v>40000</v>
      </c>
      <c r="J59" s="36"/>
      <c r="K59" s="38"/>
      <c r="L59" s="39">
        <f t="shared" si="3"/>
        <v>1.9573832638745971E-3</v>
      </c>
      <c r="M59" s="40"/>
      <c r="N59" s="41">
        <f t="shared" si="2"/>
        <v>0</v>
      </c>
    </row>
    <row r="60" spans="2:14" ht="26.25" customHeight="1">
      <c r="B60" s="42">
        <v>4822</v>
      </c>
      <c r="C60" s="35" t="s">
        <v>70</v>
      </c>
      <c r="D60" s="36">
        <f t="shared" si="1"/>
        <v>580000</v>
      </c>
      <c r="E60" s="37"/>
      <c r="F60" s="36"/>
      <c r="G60" s="36"/>
      <c r="H60" s="36">
        <v>250000</v>
      </c>
      <c r="I60" s="36"/>
      <c r="J60" s="36">
        <v>330000</v>
      </c>
      <c r="K60" s="38"/>
      <c r="L60" s="39">
        <f t="shared" si="3"/>
        <v>7.0955143315454151E-3</v>
      </c>
      <c r="M60" s="40">
        <v>330000</v>
      </c>
      <c r="N60" s="41">
        <f t="shared" si="2"/>
        <v>0</v>
      </c>
    </row>
    <row r="61" spans="2:14" ht="26.25" customHeight="1">
      <c r="B61" s="42">
        <v>4831</v>
      </c>
      <c r="C61" s="35" t="s">
        <v>80</v>
      </c>
      <c r="D61" s="36">
        <f t="shared" si="1"/>
        <v>0</v>
      </c>
      <c r="E61" s="37"/>
      <c r="F61" s="36"/>
      <c r="G61" s="36"/>
      <c r="H61" s="36"/>
      <c r="I61" s="36"/>
      <c r="J61" s="36"/>
      <c r="K61" s="38"/>
      <c r="L61" s="39">
        <f t="shared" si="3"/>
        <v>0</v>
      </c>
      <c r="M61" s="40"/>
      <c r="N61" s="41">
        <f t="shared" si="2"/>
        <v>0</v>
      </c>
    </row>
    <row r="62" spans="2:14" ht="26.25" customHeight="1">
      <c r="B62" s="42">
        <v>4851</v>
      </c>
      <c r="C62" s="35" t="s">
        <v>81</v>
      </c>
      <c r="D62" s="36">
        <f t="shared" si="1"/>
        <v>0</v>
      </c>
      <c r="E62" s="37"/>
      <c r="F62" s="36"/>
      <c r="G62" s="36"/>
      <c r="H62" s="36"/>
      <c r="I62" s="36"/>
      <c r="J62" s="36"/>
      <c r="K62" s="38"/>
      <c r="L62" s="39">
        <f t="shared" si="3"/>
        <v>0</v>
      </c>
      <c r="M62" s="40"/>
      <c r="N62" s="41">
        <f t="shared" si="2"/>
        <v>0</v>
      </c>
    </row>
    <row r="63" spans="2:14" ht="26.25" customHeight="1">
      <c r="B63" s="42">
        <v>5112</v>
      </c>
      <c r="C63" s="35" t="s">
        <v>71</v>
      </c>
      <c r="D63" s="36">
        <f t="shared" si="1"/>
        <v>3152502000</v>
      </c>
      <c r="E63" s="37"/>
      <c r="F63" s="36">
        <f>3114427000+37071000+864000</f>
        <v>3152362000</v>
      </c>
      <c r="G63" s="36"/>
      <c r="H63" s="36"/>
      <c r="I63" s="36"/>
      <c r="J63" s="36">
        <v>140000</v>
      </c>
      <c r="K63" s="38"/>
      <c r="L63" s="39">
        <f t="shared" si="3"/>
        <v>38.566591588319973</v>
      </c>
      <c r="M63" s="40">
        <v>140000</v>
      </c>
      <c r="N63" s="41">
        <f t="shared" si="2"/>
        <v>0</v>
      </c>
    </row>
    <row r="64" spans="2:14" ht="26.25" customHeight="1">
      <c r="B64" s="42">
        <v>5113</v>
      </c>
      <c r="C64" s="35" t="s">
        <v>72</v>
      </c>
      <c r="D64" s="36">
        <f t="shared" si="1"/>
        <v>0</v>
      </c>
      <c r="E64" s="37"/>
      <c r="F64" s="36"/>
      <c r="G64" s="36"/>
      <c r="H64" s="36"/>
      <c r="I64" s="36"/>
      <c r="J64" s="36"/>
      <c r="K64" s="38"/>
      <c r="L64" s="39">
        <f t="shared" si="3"/>
        <v>0</v>
      </c>
      <c r="M64" s="40"/>
      <c r="N64" s="41">
        <f t="shared" si="2"/>
        <v>0</v>
      </c>
    </row>
    <row r="65" spans="2:14" ht="33.75" customHeight="1">
      <c r="B65" s="42">
        <v>5114</v>
      </c>
      <c r="C65" s="35" t="s">
        <v>73</v>
      </c>
      <c r="D65" s="36">
        <f t="shared" si="1"/>
        <v>22725000</v>
      </c>
      <c r="E65" s="37"/>
      <c r="F65" s="36">
        <f>13225000+9000000</f>
        <v>22225000</v>
      </c>
      <c r="G65" s="36"/>
      <c r="H65" s="36"/>
      <c r="I65" s="36"/>
      <c r="J65" s="36">
        <v>500000</v>
      </c>
      <c r="K65" s="38"/>
      <c r="L65" s="39">
        <f t="shared" si="3"/>
        <v>0.27800959169718886</v>
      </c>
      <c r="M65" s="40">
        <v>500000</v>
      </c>
      <c r="N65" s="41">
        <f t="shared" si="2"/>
        <v>0</v>
      </c>
    </row>
    <row r="66" spans="2:14" ht="33.75" customHeight="1">
      <c r="B66" s="42">
        <v>5121</v>
      </c>
      <c r="C66" s="35" t="s">
        <v>92</v>
      </c>
      <c r="D66" s="36">
        <f t="shared" si="1"/>
        <v>850000</v>
      </c>
      <c r="E66" s="37"/>
      <c r="F66" s="36"/>
      <c r="G66" s="36"/>
      <c r="H66" s="36"/>
      <c r="I66" s="36"/>
      <c r="J66" s="36">
        <v>850000</v>
      </c>
      <c r="K66" s="38"/>
      <c r="L66" s="39">
        <f t="shared" si="3"/>
        <v>1.0398598589333799E-2</v>
      </c>
      <c r="M66" s="40">
        <v>850000</v>
      </c>
      <c r="N66" s="41">
        <f t="shared" si="2"/>
        <v>0</v>
      </c>
    </row>
    <row r="67" spans="2:14" ht="26.25" customHeight="1">
      <c r="B67" s="42">
        <v>5122</v>
      </c>
      <c r="C67" s="35" t="s">
        <v>82</v>
      </c>
      <c r="D67" s="36">
        <f t="shared" si="1"/>
        <v>17983280</v>
      </c>
      <c r="E67" s="37"/>
      <c r="F67" s="36">
        <f>6089280+6264000</f>
        <v>12353280</v>
      </c>
      <c r="G67" s="36"/>
      <c r="H67" s="36"/>
      <c r="I67" s="36"/>
      <c r="J67" s="71">
        <f>5680000-50000</f>
        <v>5630000</v>
      </c>
      <c r="K67" s="38"/>
      <c r="L67" s="39">
        <f t="shared" si="3"/>
        <v>0.22000107063481733</v>
      </c>
      <c r="M67" s="40">
        <v>5680000</v>
      </c>
      <c r="N67" s="41">
        <f t="shared" si="2"/>
        <v>50000</v>
      </c>
    </row>
    <row r="68" spans="2:14" ht="26.25" customHeight="1">
      <c r="B68" s="42">
        <v>5123</v>
      </c>
      <c r="C68" s="35" t="s">
        <v>84</v>
      </c>
      <c r="D68" s="36">
        <f t="shared" si="1"/>
        <v>50000</v>
      </c>
      <c r="E68" s="37"/>
      <c r="F68" s="36"/>
      <c r="G68" s="36"/>
      <c r="H68" s="36"/>
      <c r="I68" s="36"/>
      <c r="J68" s="71">
        <v>50000</v>
      </c>
      <c r="K68" s="38"/>
      <c r="L68" s="39">
        <f t="shared" si="3"/>
        <v>6.1168226996081163E-4</v>
      </c>
      <c r="M68" s="40">
        <v>0</v>
      </c>
      <c r="N68" s="41">
        <f t="shared" si="2"/>
        <v>-50000</v>
      </c>
    </row>
    <row r="69" spans="2:14" ht="26.25" customHeight="1">
      <c r="B69" s="42">
        <v>5125</v>
      </c>
      <c r="C69" s="35" t="s">
        <v>74</v>
      </c>
      <c r="D69" s="36">
        <f t="shared" si="1"/>
        <v>611860806</v>
      </c>
      <c r="E69" s="37"/>
      <c r="F69" s="71">
        <f>108617000+67995070+408176000-2726264-6457000+6527200-337000</f>
        <v>581795006</v>
      </c>
      <c r="G69" s="36"/>
      <c r="H69" s="36">
        <v>624000</v>
      </c>
      <c r="I69" s="36">
        <v>1881000</v>
      </c>
      <c r="J69" s="36">
        <f>31196400-200000-120000-2856000-459600</f>
        <v>27560800</v>
      </c>
      <c r="K69" s="38"/>
      <c r="L69" s="39">
        <f t="shared" si="3"/>
        <v>7.4852881342826363</v>
      </c>
      <c r="M69" s="41">
        <v>27560800</v>
      </c>
      <c r="N69" s="41">
        <f t="shared" si="2"/>
        <v>0</v>
      </c>
    </row>
    <row r="70" spans="2:14" ht="26.25" customHeight="1">
      <c r="B70" s="42">
        <v>5129</v>
      </c>
      <c r="C70" s="35" t="s">
        <v>76</v>
      </c>
      <c r="D70" s="36">
        <f t="shared" si="1"/>
        <v>200000</v>
      </c>
      <c r="E70" s="37"/>
      <c r="F70" s="36"/>
      <c r="G70" s="36"/>
      <c r="H70" s="36"/>
      <c r="I70" s="36"/>
      <c r="J70" s="36">
        <v>200000</v>
      </c>
      <c r="K70" s="38"/>
      <c r="L70" s="39">
        <f t="shared" si="3"/>
        <v>2.4467290798432465E-3</v>
      </c>
      <c r="M70" s="40">
        <v>200000</v>
      </c>
      <c r="N70" s="41">
        <f t="shared" si="2"/>
        <v>0</v>
      </c>
    </row>
    <row r="71" spans="2:14" ht="26.25" customHeight="1">
      <c r="B71" s="42">
        <v>5151</v>
      </c>
      <c r="C71" s="35" t="s">
        <v>75</v>
      </c>
      <c r="D71" s="36">
        <f t="shared" si="1"/>
        <v>4126000</v>
      </c>
      <c r="E71" s="37"/>
      <c r="F71" s="36"/>
      <c r="G71" s="36"/>
      <c r="H71" s="36"/>
      <c r="I71" s="36">
        <v>1270000</v>
      </c>
      <c r="J71" s="36">
        <v>2856000</v>
      </c>
      <c r="K71" s="38"/>
      <c r="L71" s="39">
        <f t="shared" si="3"/>
        <v>5.047602091716618E-2</v>
      </c>
      <c r="M71" s="40">
        <v>2856000</v>
      </c>
      <c r="N71" s="41">
        <f t="shared" si="2"/>
        <v>0</v>
      </c>
    </row>
    <row r="72" spans="2:14" ht="22.5" customHeight="1">
      <c r="B72" s="49" t="s">
        <v>26</v>
      </c>
      <c r="C72" s="49"/>
      <c r="D72" s="50">
        <f>SUM(D18:D71)</f>
        <v>8174178402</v>
      </c>
      <c r="E72" s="50">
        <f>SUM(E18:E71)</f>
        <v>2818000</v>
      </c>
      <c r="F72" s="50">
        <f t="shared" ref="F72:K72" si="4">SUM(F18:F71)</f>
        <v>3810488402</v>
      </c>
      <c r="G72" s="50">
        <f t="shared" si="4"/>
        <v>742000</v>
      </c>
      <c r="H72" s="50">
        <f t="shared" si="4"/>
        <v>4075765000</v>
      </c>
      <c r="I72" s="50">
        <f t="shared" si="4"/>
        <v>5336000</v>
      </c>
      <c r="J72" s="50">
        <f t="shared" si="4"/>
        <v>63885000</v>
      </c>
      <c r="K72" s="50">
        <f t="shared" si="4"/>
        <v>215144000</v>
      </c>
      <c r="L72" s="50">
        <f t="shared" si="3"/>
        <v>100</v>
      </c>
    </row>
    <row r="73" spans="2:14" ht="0.75" customHeight="1">
      <c r="B73" s="26" t="s">
        <v>27</v>
      </c>
      <c r="C73" s="45"/>
      <c r="D73" s="23">
        <f>SUM(E73:K73)</f>
        <v>99.999999999999986</v>
      </c>
      <c r="E73" s="46">
        <f t="shared" ref="E73:K73" si="5">E72/$D$72*100</f>
        <v>3.4474412734991348E-2</v>
      </c>
      <c r="F73" s="46">
        <f t="shared" si="5"/>
        <v>46.616163907894112</v>
      </c>
      <c r="G73" s="46">
        <f t="shared" si="5"/>
        <v>9.0773648862184451E-3</v>
      </c>
      <c r="H73" s="46">
        <f t="shared" si="5"/>
        <v>49.86146374053655</v>
      </c>
      <c r="I73" s="46">
        <f t="shared" si="5"/>
        <v>6.5278731850217819E-2</v>
      </c>
      <c r="J73" s="46">
        <f t="shared" si="5"/>
        <v>0.78154643632892906</v>
      </c>
      <c r="K73" s="46">
        <f t="shared" si="5"/>
        <v>2.6319954057689774</v>
      </c>
      <c r="L73" s="45"/>
    </row>
    <row r="74" spans="2:14" ht="1.5" customHeight="1">
      <c r="E74" s="25" t="s">
        <v>17</v>
      </c>
      <c r="F74" s="25" t="s">
        <v>18</v>
      </c>
      <c r="G74" s="25" t="s">
        <v>19</v>
      </c>
      <c r="H74" s="25" t="s">
        <v>20</v>
      </c>
      <c r="I74" s="27" t="s">
        <v>14</v>
      </c>
      <c r="J74" s="27" t="s">
        <v>15</v>
      </c>
      <c r="K74" s="27" t="s">
        <v>16</v>
      </c>
    </row>
    <row r="75" spans="2:14" ht="24.75" customHeight="1">
      <c r="H75" s="66"/>
    </row>
    <row r="154" spans="2:12" s="47" customFormat="1" ht="14.25">
      <c r="B154" s="31"/>
      <c r="C154" s="31"/>
      <c r="D154" s="31"/>
      <c r="E154" s="31"/>
      <c r="F154" s="31"/>
      <c r="G154" s="31"/>
      <c r="L154" s="31"/>
    </row>
    <row r="155" spans="2:12" ht="14.25">
      <c r="B155" s="47"/>
      <c r="C155" s="47"/>
      <c r="D155" s="47"/>
      <c r="E155" s="47"/>
      <c r="F155" s="47"/>
      <c r="G155" s="47"/>
      <c r="H155" s="84" t="s">
        <v>28</v>
      </c>
      <c r="I155" s="84"/>
      <c r="J155" s="84"/>
      <c r="K155" s="84"/>
      <c r="L155" s="47"/>
    </row>
    <row r="156" spans="2:12">
      <c r="H156" s="48"/>
      <c r="I156" s="48"/>
      <c r="J156" s="48"/>
      <c r="K156" s="48"/>
    </row>
  </sheetData>
  <mergeCells count="14">
    <mergeCell ref="H155:K155"/>
    <mergeCell ref="B10:L10"/>
    <mergeCell ref="B11:L11"/>
    <mergeCell ref="B13:L13"/>
    <mergeCell ref="I16:I17"/>
    <mergeCell ref="J16:J17"/>
    <mergeCell ref="K16:K17"/>
    <mergeCell ref="K14:L14"/>
    <mergeCell ref="B15:B17"/>
    <mergeCell ref="C15:C17"/>
    <mergeCell ref="D15:H15"/>
    <mergeCell ref="L15:L17"/>
    <mergeCell ref="D16:D17"/>
    <mergeCell ref="E16:H16"/>
  </mergeCells>
  <pageMargins left="0.6692913385826772" right="0.35433070866141736" top="0.78740157480314965" bottom="0.36" header="0.51181102362204722" footer="0.28000000000000003"/>
  <pageSetup paperSize="9" scale="80" fitToHeight="6" orientation="landscape" r:id="rId1"/>
  <headerFooter alignWithMargins="0"/>
  <rowBreaks count="2" manualBreakCount="2">
    <brk id="74" max="11" man="1"/>
    <brk id="102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B56"/>
  <sheetViews>
    <sheetView topLeftCell="A34" workbookViewId="0">
      <selection activeCell="A11" sqref="A11"/>
    </sheetView>
  </sheetViews>
  <sheetFormatPr defaultRowHeight="15"/>
  <cols>
    <col min="1" max="1" width="103.140625" style="29" customWidth="1"/>
  </cols>
  <sheetData>
    <row r="3" spans="1:2" ht="31.5">
      <c r="A3" s="65" t="s">
        <v>98</v>
      </c>
    </row>
    <row r="4" spans="1:2" ht="15" customHeight="1">
      <c r="A4" s="64"/>
    </row>
    <row r="5" spans="1:2" ht="30">
      <c r="A5" s="61" t="s">
        <v>97</v>
      </c>
    </row>
    <row r="6" spans="1:2" ht="30">
      <c r="A6" s="61" t="s">
        <v>96</v>
      </c>
    </row>
    <row r="7" spans="1:2" ht="15.75" customHeight="1"/>
    <row r="8" spans="1:2" ht="15.75" customHeight="1">
      <c r="A8" s="110" t="s">
        <v>145</v>
      </c>
      <c r="B8" s="28"/>
    </row>
    <row r="9" spans="1:2" ht="15" customHeight="1">
      <c r="A9" s="110"/>
      <c r="B9" s="28"/>
    </row>
    <row r="10" spans="1:2">
      <c r="A10" s="110"/>
      <c r="B10" s="28"/>
    </row>
    <row r="11" spans="1:2">
      <c r="B11" s="28"/>
    </row>
    <row r="12" spans="1:2" ht="41.25" customHeight="1">
      <c r="A12" s="61" t="s">
        <v>100</v>
      </c>
      <c r="B12" s="28"/>
    </row>
    <row r="13" spans="1:2" ht="30">
      <c r="A13" s="61" t="s">
        <v>101</v>
      </c>
      <c r="B13" s="28"/>
    </row>
    <row r="14" spans="1:2" ht="30">
      <c r="A14" s="61" t="s">
        <v>103</v>
      </c>
      <c r="B14" s="28"/>
    </row>
    <row r="15" spans="1:2" ht="30">
      <c r="A15" s="61" t="s">
        <v>106</v>
      </c>
    </row>
    <row r="16" spans="1:2" ht="30">
      <c r="A16" s="61" t="s">
        <v>109</v>
      </c>
    </row>
    <row r="17" spans="1:1" ht="30">
      <c r="A17" s="61" t="s">
        <v>110</v>
      </c>
    </row>
    <row r="18" spans="1:1" ht="30">
      <c r="A18" s="61" t="s">
        <v>111</v>
      </c>
    </row>
    <row r="19" spans="1:1" ht="30">
      <c r="A19" s="61" t="s">
        <v>113</v>
      </c>
    </row>
    <row r="20" spans="1:1" ht="30">
      <c r="A20" s="61" t="s">
        <v>115</v>
      </c>
    </row>
    <row r="21" spans="1:1" ht="30">
      <c r="A21" s="61" t="s">
        <v>116</v>
      </c>
    </row>
    <row r="22" spans="1:1" ht="30">
      <c r="A22" s="61" t="s">
        <v>117</v>
      </c>
    </row>
    <row r="23" spans="1:1" ht="30">
      <c r="A23" s="61" t="s">
        <v>118</v>
      </c>
    </row>
    <row r="24" spans="1:1" ht="30">
      <c r="A24" s="61" t="s">
        <v>120</v>
      </c>
    </row>
    <row r="25" spans="1:1">
      <c r="A25" s="61" t="s">
        <v>122</v>
      </c>
    </row>
    <row r="26" spans="1:1" ht="30">
      <c r="A26" s="61" t="s">
        <v>124</v>
      </c>
    </row>
    <row r="27" spans="1:1" ht="30">
      <c r="A27" s="61" t="s">
        <v>127</v>
      </c>
    </row>
    <row r="28" spans="1:1" ht="30">
      <c r="A28" s="61" t="s">
        <v>128</v>
      </c>
    </row>
    <row r="29" spans="1:1" ht="30">
      <c r="A29" s="61" t="s">
        <v>129</v>
      </c>
    </row>
    <row r="30" spans="1:1" ht="30">
      <c r="A30" s="61" t="s">
        <v>130</v>
      </c>
    </row>
    <row r="31" spans="1:1" ht="30">
      <c r="A31" s="61" t="s">
        <v>131</v>
      </c>
    </row>
    <row r="32" spans="1:1" ht="30">
      <c r="A32" s="61" t="s">
        <v>132</v>
      </c>
    </row>
    <row r="33" spans="1:1" ht="30">
      <c r="A33" s="61" t="s">
        <v>133</v>
      </c>
    </row>
    <row r="34" spans="1:1" ht="30">
      <c r="A34" s="61" t="s">
        <v>134</v>
      </c>
    </row>
    <row r="35" spans="1:1" ht="30">
      <c r="A35" s="61" t="s">
        <v>135</v>
      </c>
    </row>
    <row r="36" spans="1:1" ht="30">
      <c r="A36" s="61" t="s">
        <v>112</v>
      </c>
    </row>
    <row r="37" spans="1:1" ht="30">
      <c r="A37" s="77" t="s">
        <v>119</v>
      </c>
    </row>
    <row r="38" spans="1:1">
      <c r="A38" s="77" t="s">
        <v>126</v>
      </c>
    </row>
    <row r="39" spans="1:1">
      <c r="A39" s="74" t="s">
        <v>121</v>
      </c>
    </row>
    <row r="40" spans="1:1" ht="30">
      <c r="A40" s="74" t="s">
        <v>139</v>
      </c>
    </row>
    <row r="41" spans="1:1" ht="30">
      <c r="A41" s="76" t="s">
        <v>143</v>
      </c>
    </row>
    <row r="42" spans="1:1" ht="30">
      <c r="A42" s="76" t="s">
        <v>141</v>
      </c>
    </row>
    <row r="43" spans="1:1" ht="30">
      <c r="A43" s="76" t="s">
        <v>104</v>
      </c>
    </row>
    <row r="44" spans="1:1" ht="30">
      <c r="A44" s="76" t="s">
        <v>107</v>
      </c>
    </row>
    <row r="45" spans="1:1" ht="30">
      <c r="A45" s="76" t="s">
        <v>144</v>
      </c>
    </row>
    <row r="46" spans="1:1" ht="30">
      <c r="A46" s="75" t="s">
        <v>142</v>
      </c>
    </row>
    <row r="47" spans="1:1" ht="30">
      <c r="A47" s="75" t="s">
        <v>99</v>
      </c>
    </row>
    <row r="48" spans="1:1" ht="30">
      <c r="A48" s="75" t="s">
        <v>102</v>
      </c>
    </row>
    <row r="49" spans="1:1" ht="30">
      <c r="A49" s="75" t="s">
        <v>105</v>
      </c>
    </row>
    <row r="50" spans="1:1" ht="30">
      <c r="A50" s="75" t="s">
        <v>108</v>
      </c>
    </row>
    <row r="51" spans="1:1" ht="30">
      <c r="A51" s="75" t="s">
        <v>114</v>
      </c>
    </row>
    <row r="52" spans="1:1">
      <c r="A52" s="75" t="s">
        <v>123</v>
      </c>
    </row>
    <row r="53" spans="1:1" ht="30">
      <c r="A53" s="75" t="s">
        <v>125</v>
      </c>
    </row>
    <row r="54" spans="1:1" ht="30">
      <c r="A54" s="75" t="s">
        <v>138</v>
      </c>
    </row>
    <row r="55" spans="1:1" ht="30">
      <c r="A55" s="75" t="s">
        <v>137</v>
      </c>
    </row>
    <row r="56" spans="1:1" ht="30">
      <c r="A56" s="75" t="s">
        <v>136</v>
      </c>
    </row>
  </sheetData>
  <sortState ref="A12:A56">
    <sortCondition sortBy="cellColor" ref="A12:A56"/>
    <sortCondition sortBy="cellColor" ref="A12:A56" dxfId="3"/>
    <sortCondition sortBy="cellColor" ref="A12:A56" dxfId="2"/>
    <sortCondition sortBy="cellColor" ref="A12:A56" dxfId="1"/>
    <sortCondition sortBy="cellColor" ref="A12:A56" dxfId="0"/>
  </sortState>
  <mergeCells count="1">
    <mergeCell ref="A8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ПОЧЕТНА</vt:lpstr>
      <vt:lpstr>ПРИХОДИ</vt:lpstr>
      <vt:lpstr>РАСХОДИ</vt:lpstr>
      <vt:lpstr>izmena</vt:lpstr>
      <vt:lpstr>РАСХОДИ!Print_Area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BoBogdanovic</dc:creator>
  <cp:lastModifiedBy>HŠešum</cp:lastModifiedBy>
  <cp:lastPrinted>2022-10-10T06:07:49Z</cp:lastPrinted>
  <dcterms:created xsi:type="dcterms:W3CDTF">2017-01-05T09:01:39Z</dcterms:created>
  <dcterms:modified xsi:type="dcterms:W3CDTF">2023-01-12T09:52:34Z</dcterms:modified>
</cp:coreProperties>
</file>