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15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1">ПРИХОДИ!$A$1:$M$98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C82" i="7"/>
  <c r="B121"/>
  <c r="A121"/>
  <c r="B119"/>
  <c r="A119"/>
  <c r="C122"/>
  <c r="D120"/>
  <c r="C120"/>
  <c r="J43" i="3"/>
  <c r="J42"/>
  <c r="I70"/>
  <c r="I55"/>
  <c r="B90" i="7"/>
  <c r="A90"/>
  <c r="C64"/>
  <c r="C74"/>
  <c r="C55"/>
  <c r="D72"/>
  <c r="C72"/>
  <c r="L27" i="2"/>
  <c r="H27"/>
  <c r="H53" i="3"/>
  <c r="J23" i="2"/>
  <c r="J18" i="3"/>
  <c r="C101" i="7"/>
  <c r="C102" s="1"/>
  <c r="B101"/>
  <c r="A101"/>
  <c r="B100"/>
  <c r="A100"/>
  <c r="J22" i="2"/>
  <c r="C115" i="7"/>
  <c r="B114"/>
  <c r="A114"/>
  <c r="B113"/>
  <c r="A113"/>
  <c r="B112"/>
  <c r="A112"/>
  <c r="B111"/>
  <c r="A111"/>
  <c r="B110"/>
  <c r="A110"/>
  <c r="B109"/>
  <c r="A109"/>
  <c r="B108"/>
  <c r="A108"/>
  <c r="B107"/>
  <c r="A107"/>
  <c r="B106"/>
  <c r="A106"/>
  <c r="B105"/>
  <c r="A105"/>
  <c r="B104"/>
  <c r="A104"/>
  <c r="B103"/>
  <c r="A103"/>
  <c r="D102"/>
  <c r="B92"/>
  <c r="A92"/>
  <c r="C93"/>
  <c r="D91"/>
  <c r="C91"/>
  <c r="B82"/>
  <c r="A82"/>
  <c r="B81"/>
  <c r="A81"/>
  <c r="B80"/>
  <c r="A80"/>
  <c r="B78"/>
  <c r="A78"/>
  <c r="D79"/>
  <c r="C79"/>
  <c r="H18" i="3"/>
  <c r="B54" i="7"/>
  <c r="A54"/>
  <c r="C47"/>
  <c r="B63"/>
  <c r="A63"/>
  <c r="B62"/>
  <c r="A62"/>
  <c r="B61"/>
  <c r="A61"/>
  <c r="B60"/>
  <c r="A60"/>
  <c r="B59"/>
  <c r="A59"/>
  <c r="B58"/>
  <c r="A58"/>
  <c r="B57"/>
  <c r="A57"/>
  <c r="D55"/>
  <c r="B46"/>
  <c r="A46"/>
  <c r="B44"/>
  <c r="A44"/>
  <c r="B42"/>
  <c r="A42"/>
  <c r="H30" i="3"/>
  <c r="D43" i="7"/>
  <c r="C43"/>
  <c r="B34"/>
  <c r="A34"/>
  <c r="C35"/>
  <c r="B33"/>
  <c r="A33"/>
  <c r="B32"/>
  <c r="A32"/>
  <c r="B31"/>
  <c r="A31"/>
  <c r="B30"/>
  <c r="A30"/>
  <c r="I24" i="2"/>
  <c r="J60" i="3"/>
  <c r="J56"/>
  <c r="H54"/>
  <c r="L53"/>
  <c r="H52"/>
  <c r="J51"/>
  <c r="H51"/>
  <c r="H50"/>
  <c r="I46"/>
  <c r="H46"/>
  <c r="H44"/>
  <c r="J41"/>
  <c r="J38"/>
  <c r="J35"/>
  <c r="H31"/>
  <c r="J30"/>
  <c r="J29"/>
  <c r="H29"/>
  <c r="H26"/>
  <c r="A29" i="7"/>
  <c r="B29"/>
  <c r="B24"/>
  <c r="A24"/>
  <c r="D35"/>
  <c r="D25"/>
  <c r="C25"/>
  <c r="J28" i="3"/>
  <c r="H28"/>
  <c r="H24"/>
  <c r="J20"/>
  <c r="H20"/>
  <c r="J19" l="1"/>
  <c r="H19"/>
  <c r="A6" i="7"/>
  <c r="C7"/>
  <c r="B6"/>
  <c r="F70" i="3"/>
  <c r="F18" i="2"/>
  <c r="F48" i="3"/>
  <c r="J70"/>
  <c r="D17" i="7"/>
  <c r="D7"/>
  <c r="C17" l="1"/>
  <c r="F29" i="2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  <c r="C83" i="7" l="1"/>
</calcChain>
</file>

<file path=xl/sharedStrings.xml><?xml version="1.0" encoding="utf-8"?>
<sst xmlns="http://schemas.openxmlformats.org/spreadsheetml/2006/main" count="219" uniqueCount="116">
  <si>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</si>
  <si>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</si>
  <si>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</si>
  <si>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</si>
  <si>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</si>
  <si>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</si>
  <si>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</si>
  <si>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</si>
  <si>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</si>
  <si>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</si>
  <si>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</si>
  <si>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</si>
  <si>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</si>
  <si>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</si>
  <si>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</si>
  <si>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</si>
  <si>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</si>
  <si>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</si>
  <si>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</si>
  <si>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</si>
  <si>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</si>
  <si>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</si>
  <si>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</si>
  <si>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</si>
  <si>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</si>
  <si>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</si>
  <si>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</si>
  <si>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</si>
  <si>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</si>
  <si>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</si>
  <si>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</si>
  <si>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</si>
  <si>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</si>
  <si>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</si>
  <si>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</si>
  <si>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</si>
  <si>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</si>
  <si>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</si>
  <si>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</si>
  <si>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</si>
  <si>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</si>
  <si>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</si>
  <si>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</si>
  <si>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</si>
  <si>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</si>
  <si>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</si>
  <si>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</si>
  <si>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</si>
  <si>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</si>
  <si>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</si>
  <si>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</si>
  <si>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</si>
  <si>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</si>
  <si>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</si>
  <si>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</si>
  <si>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</si>
  <si>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</si>
  <si>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</si>
  <si>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</si>
  <si>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</si>
  <si>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</si>
  <si>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</si>
  <si>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</si>
  <si>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</si>
  <si>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</si>
  <si>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</si>
  <si>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</si>
  <si>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</si>
  <si>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</si>
  <si>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</si>
  <si>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</si>
  <si>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</si>
  <si>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</si>
  <si>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</si>
  <si>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</si>
  <si>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</si>
  <si>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</si>
  <si>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</si>
  <si>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</si>
  <si>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</si>
  <si>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</si>
  <si>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</si>
  <si>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</si>
  <si>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</si>
  <si>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</si>
  <si>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</si>
  <si>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</si>
  <si>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</si>
  <si>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</si>
  <si>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</si>
  <si>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</si>
  <si>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</si>
  <si>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</si>
  <si>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</si>
  <si>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</si>
  <si>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</si>
  <si>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</si>
  <si>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</si>
  <si>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</si>
  <si>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</si>
  <si>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</si>
  <si>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</si>
  <si>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</si>
  <si>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расхода и издатака</t>
  </si>
  <si>
    <t>Дана:10.10.2025.</t>
  </si>
  <si>
    <t>Ниво ООСО</t>
  </si>
  <si>
    <t>Укупно планирано повећање прихода и примања</t>
  </si>
  <si>
    <t>XIV Измене и допуне финансијског плана</t>
  </si>
  <si>
    <t>На основу Одлуке о додели средстава за суфинансирање обавезног сопственог учешћа на пројектима који се финансирају из ИПА</t>
  </si>
  <si>
    <t>На основу Одлуке о измени одлуке о додели средстава даваоцима здравствених услуга за 2025. годину</t>
  </si>
  <si>
    <t>Ниво АПВ</t>
  </si>
  <si>
    <t>На основу прихода по трансферима од РФЗО у 2025. години и створених обавеза по Правилнику о уговарању</t>
  </si>
  <si>
    <t xml:space="preserve">Прерасподела донација из 2024. и ранијих година за дан Института </t>
  </si>
  <si>
    <t>Укупно планирано смањење расхода и издатака</t>
  </si>
  <si>
    <t>Прерасподела сопствених средстава на основу измена Уредбе о коефицијентима и потреба у вези обављања делатности у току 2025. године</t>
  </si>
  <si>
    <t>Ниво ООСО - средства ван уговора</t>
  </si>
</sst>
</file>

<file path=xl/styles.xml><?xml version="1.0" encoding="utf-8"?>
<styleSheet xmlns="http://schemas.openxmlformats.org/spreadsheetml/2006/main">
  <fonts count="50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0">
    <xf numFmtId="0" fontId="0" fillId="0" borderId="0" xfId="0"/>
    <xf numFmtId="0" fontId="34" fillId="0" borderId="0" xfId="0" applyFont="1" applyAlignment="1">
      <alignment horizontal="left" vertical="top" wrapText="1" indent="1"/>
    </xf>
    <xf numFmtId="0" fontId="3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5" fillId="0" borderId="0" xfId="0" applyFont="1"/>
    <xf numFmtId="0" fontId="6" fillId="0" borderId="0" xfId="0" applyFont="1"/>
    <xf numFmtId="0" fontId="8" fillId="0" borderId="0" xfId="39" applyFont="1"/>
    <xf numFmtId="0" fontId="9" fillId="0" borderId="0" xfId="0" applyFont="1"/>
    <xf numFmtId="0" fontId="10" fillId="0" borderId="0" xfId="0" applyFont="1"/>
    <xf numFmtId="0" fontId="11" fillId="0" borderId="0" xfId="39" applyFont="1"/>
    <xf numFmtId="0" fontId="12" fillId="0" borderId="12" xfId="39" applyFont="1" applyBorder="1" applyAlignment="1">
      <alignment horizontal="center" wrapText="1"/>
    </xf>
    <xf numFmtId="0" fontId="12" fillId="24" borderId="12" xfId="39" applyFont="1" applyFill="1" applyBorder="1"/>
    <xf numFmtId="0" fontId="12" fillId="24" borderId="12" xfId="39" applyFont="1" applyFill="1" applyBorder="1" applyAlignment="1">
      <alignment horizontal="center"/>
    </xf>
    <xf numFmtId="4" fontId="12" fillId="24" borderId="12" xfId="39" applyNumberFormat="1" applyFont="1" applyFill="1" applyBorder="1" applyAlignment="1">
      <alignment horizontal="center"/>
    </xf>
    <xf numFmtId="0" fontId="13" fillId="0" borderId="13" xfId="0" applyFont="1" applyBorder="1" applyAlignment="1">
      <alignment wrapText="1"/>
    </xf>
    <xf numFmtId="0" fontId="13" fillId="0" borderId="12" xfId="0" applyFont="1" applyBorder="1" applyAlignment="1">
      <alignment horizontal="center"/>
    </xf>
    <xf numFmtId="0" fontId="13" fillId="0" borderId="14" xfId="0" applyFont="1" applyBorder="1"/>
    <xf numFmtId="0" fontId="12" fillId="0" borderId="12" xfId="39" applyFont="1" applyBorder="1"/>
    <xf numFmtId="0" fontId="32" fillId="0" borderId="0" xfId="0" applyFont="1"/>
    <xf numFmtId="0" fontId="15" fillId="0" borderId="0" xfId="0" applyFont="1"/>
    <xf numFmtId="0" fontId="13" fillId="0" borderId="0" xfId="0" applyFont="1"/>
    <xf numFmtId="0" fontId="13" fillId="0" borderId="14" xfId="0" applyFont="1" applyBorder="1" applyAlignment="1">
      <alignment horizontal="center" wrapText="1"/>
    </xf>
    <xf numFmtId="0" fontId="15" fillId="0" borderId="15" xfId="0" applyFont="1" applyBorder="1" applyAlignment="1">
      <alignment horizontal="center"/>
    </xf>
    <xf numFmtId="0" fontId="15" fillId="0" borderId="15" xfId="0" applyFont="1" applyBorder="1" applyAlignment="1">
      <alignment wrapText="1"/>
    </xf>
    <xf numFmtId="4" fontId="15" fillId="0" borderId="12" xfId="0" applyNumberFormat="1" applyFont="1" applyBorder="1" applyAlignment="1">
      <alignment horizontal="center"/>
    </xf>
    <xf numFmtId="0" fontId="33" fillId="0" borderId="0" xfId="0" applyFont="1"/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>
      <alignment wrapText="1"/>
    </xf>
    <xf numFmtId="0" fontId="15" fillId="0" borderId="17" xfId="0" applyFont="1" applyBorder="1" applyAlignment="1">
      <alignment wrapText="1"/>
    </xf>
    <xf numFmtId="0" fontId="15" fillId="0" borderId="12" xfId="0" applyFont="1" applyBorder="1"/>
    <xf numFmtId="4" fontId="13" fillId="0" borderId="12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3" fillId="25" borderId="12" xfId="0" applyFont="1" applyFill="1" applyBorder="1"/>
    <xf numFmtId="3" fontId="13" fillId="25" borderId="12" xfId="0" applyNumberFormat="1" applyFont="1" applyFill="1" applyBorder="1" applyAlignment="1">
      <alignment horizontal="center"/>
    </xf>
    <xf numFmtId="0" fontId="36" fillId="0" borderId="12" xfId="39" applyFont="1" applyBorder="1" applyAlignment="1">
      <alignment vertical="center"/>
    </xf>
    <xf numFmtId="0" fontId="36" fillId="0" borderId="12" xfId="39" applyFont="1" applyBorder="1" applyAlignment="1">
      <alignment horizontal="left" vertical="center" wrapText="1"/>
    </xf>
    <xf numFmtId="4" fontId="36" fillId="0" borderId="12" xfId="39" applyNumberFormat="1" applyFont="1" applyBorder="1" applyAlignment="1">
      <alignment horizontal="center"/>
    </xf>
    <xf numFmtId="0" fontId="37" fillId="24" borderId="12" xfId="39" applyFont="1" applyFill="1" applyBorder="1"/>
    <xf numFmtId="3" fontId="37" fillId="24" borderId="12" xfId="39" applyNumberFormat="1" applyFont="1" applyFill="1" applyBorder="1" applyAlignment="1">
      <alignment horizontal="center"/>
    </xf>
    <xf numFmtId="0" fontId="37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39" fillId="0" borderId="0" xfId="39" applyFont="1"/>
    <xf numFmtId="3" fontId="15" fillId="0" borderId="0" xfId="0" applyNumberFormat="1" applyFont="1"/>
    <xf numFmtId="3" fontId="8" fillId="0" borderId="0" xfId="39" applyNumberFormat="1" applyFont="1"/>
    <xf numFmtId="3" fontId="39" fillId="0" borderId="0" xfId="39" applyNumberFormat="1" applyFont="1"/>
    <xf numFmtId="3" fontId="36" fillId="0" borderId="12" xfId="39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1" fillId="0" borderId="0" xfId="0" applyFont="1"/>
    <xf numFmtId="4" fontId="0" fillId="0" borderId="0" xfId="0" applyNumberFormat="1"/>
    <xf numFmtId="4" fontId="15" fillId="0" borderId="0" xfId="0" applyNumberFormat="1" applyFont="1"/>
    <xf numFmtId="4" fontId="33" fillId="0" borderId="0" xfId="0" applyNumberFormat="1" applyFont="1"/>
    <xf numFmtId="3" fontId="13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8" fillId="0" borderId="0" xfId="39" applyNumberFormat="1" applyFont="1"/>
    <xf numFmtId="0" fontId="12" fillId="0" borderId="13" xfId="39" applyFont="1" applyBorder="1" applyAlignment="1">
      <alignment horizontal="center" wrapText="1"/>
    </xf>
    <xf numFmtId="0" fontId="45" fillId="27" borderId="0" xfId="0" applyFont="1" applyFill="1" applyAlignment="1">
      <alignment wrapText="1"/>
    </xf>
    <xf numFmtId="4" fontId="30" fillId="27" borderId="0" xfId="0" applyNumberFormat="1" applyFont="1" applyFill="1"/>
    <xf numFmtId="4" fontId="30" fillId="28" borderId="0" xfId="0" applyNumberFormat="1" applyFont="1" applyFill="1"/>
    <xf numFmtId="0" fontId="30" fillId="28" borderId="0" xfId="0" applyFont="1" applyFill="1"/>
    <xf numFmtId="0" fontId="14" fillId="0" borderId="0" xfId="0" applyFont="1" applyFill="1" applyAlignment="1">
      <alignment horizontal="center"/>
    </xf>
    <xf numFmtId="4" fontId="30" fillId="0" borderId="0" xfId="0" applyNumberFormat="1" applyFont="1" applyFill="1"/>
    <xf numFmtId="0" fontId="46" fillId="0" borderId="0" xfId="39" applyFont="1" applyBorder="1" applyAlignment="1">
      <alignment horizontal="left" vertical="center" wrapText="1"/>
    </xf>
    <xf numFmtId="0" fontId="0" fillId="0" borderId="0" xfId="0" applyNumberFormat="1"/>
    <xf numFmtId="4" fontId="0" fillId="0" borderId="0" xfId="0" applyNumberFormat="1" applyFont="1"/>
    <xf numFmtId="0" fontId="32" fillId="0" borderId="0" xfId="0" applyFont="1" applyFill="1" applyAlignment="1">
      <alignment wrapText="1"/>
    </xf>
    <xf numFmtId="0" fontId="45" fillId="27" borderId="0" xfId="0" applyFont="1" applyFill="1" applyAlignment="1">
      <alignment horizontal="center" wrapText="1"/>
    </xf>
    <xf numFmtId="0" fontId="14" fillId="28" borderId="0" xfId="0" applyFont="1" applyFill="1" applyAlignment="1">
      <alignment horizontal="center"/>
    </xf>
    <xf numFmtId="0" fontId="12" fillId="0" borderId="12" xfId="39" applyFont="1" applyBorder="1" applyAlignment="1">
      <alignment horizontal="center" wrapText="1"/>
    </xf>
    <xf numFmtId="4" fontId="2" fillId="28" borderId="0" xfId="48" applyNumberFormat="1" applyFill="1"/>
    <xf numFmtId="0" fontId="14" fillId="28" borderId="0" xfId="0" applyFont="1" applyFill="1" applyAlignment="1">
      <alignment horizontal="center"/>
    </xf>
    <xf numFmtId="3" fontId="36" fillId="0" borderId="12" xfId="39" applyNumberFormat="1" applyFont="1" applyFill="1" applyBorder="1" applyAlignment="1">
      <alignment horizontal="center"/>
    </xf>
    <xf numFmtId="3" fontId="46" fillId="0" borderId="12" xfId="39" applyNumberFormat="1" applyFont="1" applyFill="1" applyBorder="1" applyAlignment="1">
      <alignment horizontal="center"/>
    </xf>
    <xf numFmtId="4" fontId="2" fillId="0" borderId="0" xfId="52" applyNumberFormat="1" applyFill="1"/>
    <xf numFmtId="3" fontId="15" fillId="0" borderId="12" xfId="0" applyNumberFormat="1" applyFont="1" applyFill="1" applyBorder="1"/>
    <xf numFmtId="3" fontId="44" fillId="0" borderId="12" xfId="55" applyNumberFormat="1" applyFont="1" applyFill="1" applyBorder="1"/>
    <xf numFmtId="3" fontId="44" fillId="0" borderId="12" xfId="0" applyNumberFormat="1" applyFont="1" applyFill="1" applyBorder="1"/>
    <xf numFmtId="3" fontId="44" fillId="0" borderId="12" xfId="58" applyNumberFormat="1" applyFont="1" applyFill="1" applyBorder="1"/>
    <xf numFmtId="3" fontId="44" fillId="0" borderId="12" xfId="59" applyNumberFormat="1" applyFont="1" applyFill="1" applyBorder="1"/>
    <xf numFmtId="3" fontId="43" fillId="0" borderId="12" xfId="0" applyNumberFormat="1" applyFont="1" applyFill="1" applyBorder="1"/>
    <xf numFmtId="3" fontId="44" fillId="0" borderId="12" xfId="60" applyNumberFormat="1" applyFont="1" applyFill="1" applyBorder="1"/>
    <xf numFmtId="0" fontId="15" fillId="0" borderId="12" xfId="0" applyFont="1" applyFill="1" applyBorder="1"/>
    <xf numFmtId="3" fontId="44" fillId="0" borderId="12" xfId="45" applyNumberFormat="1" applyFont="1" applyFill="1" applyBorder="1"/>
    <xf numFmtId="3" fontId="44" fillId="0" borderId="12" xfId="62" applyNumberFormat="1" applyFont="1" applyFill="1" applyBorder="1"/>
    <xf numFmtId="3" fontId="44" fillId="0" borderId="12" xfId="49" applyNumberFormat="1" applyFont="1" applyFill="1" applyBorder="1"/>
    <xf numFmtId="3" fontId="44" fillId="0" borderId="12" xfId="63" applyNumberFormat="1" applyFont="1" applyFill="1" applyBorder="1"/>
    <xf numFmtId="3" fontId="44" fillId="0" borderId="12" xfId="46" applyNumberFormat="1" applyFont="1" applyFill="1" applyBorder="1"/>
    <xf numFmtId="3" fontId="44" fillId="0" borderId="12" xfId="47" applyNumberFormat="1" applyFont="1" applyFill="1" applyBorder="1"/>
    <xf numFmtId="3" fontId="44" fillId="0" borderId="12" xfId="67" applyNumberFormat="1" applyFont="1" applyFill="1" applyBorder="1"/>
    <xf numFmtId="3" fontId="44" fillId="0" borderId="12" xfId="68" applyNumberFormat="1" applyFont="1" applyFill="1" applyBorder="1"/>
    <xf numFmtId="3" fontId="44" fillId="0" borderId="12" xfId="69" applyNumberFormat="1" applyFont="1" applyFill="1" applyBorder="1"/>
    <xf numFmtId="3" fontId="44" fillId="0" borderId="12" xfId="70" applyNumberFormat="1" applyFont="1" applyFill="1" applyBorder="1"/>
    <xf numFmtId="3" fontId="44" fillId="0" borderId="12" xfId="50" applyNumberFormat="1" applyFont="1" applyFill="1" applyBorder="1"/>
    <xf numFmtId="3" fontId="44" fillId="0" borderId="12" xfId="71" applyNumberFormat="1" applyFont="1" applyFill="1" applyBorder="1"/>
    <xf numFmtId="3" fontId="15" fillId="28" borderId="12" xfId="0" applyNumberFormat="1" applyFont="1" applyFill="1" applyBorder="1"/>
    <xf numFmtId="3" fontId="44" fillId="28" borderId="12" xfId="51" applyNumberFormat="1" applyFont="1" applyFill="1" applyBorder="1"/>
    <xf numFmtId="0" fontId="14" fillId="28" borderId="0" xfId="0" applyFont="1" applyFill="1" applyAlignment="1">
      <alignment horizontal="center"/>
    </xf>
    <xf numFmtId="3" fontId="44" fillId="28" borderId="12" xfId="54" applyNumberFormat="1" applyFont="1" applyFill="1" applyBorder="1"/>
    <xf numFmtId="3" fontId="44" fillId="28" borderId="12" xfId="57" applyNumberFormat="1" applyFont="1" applyFill="1" applyBorder="1"/>
    <xf numFmtId="3" fontId="44" fillId="28" borderId="12" xfId="0" applyNumberFormat="1" applyFont="1" applyFill="1" applyBorder="1"/>
    <xf numFmtId="3" fontId="44" fillId="28" borderId="12" xfId="58" applyNumberFormat="1" applyFont="1" applyFill="1" applyBorder="1"/>
    <xf numFmtId="4" fontId="2" fillId="28" borderId="0" xfId="53" applyNumberFormat="1" applyFill="1"/>
    <xf numFmtId="3" fontId="44" fillId="28" borderId="12" xfId="56" applyNumberFormat="1" applyFont="1" applyFill="1" applyBorder="1"/>
    <xf numFmtId="3" fontId="15" fillId="26" borderId="12" xfId="0" applyNumberFormat="1" applyFont="1" applyFill="1" applyBorder="1"/>
    <xf numFmtId="3" fontId="44" fillId="28" borderId="12" xfId="61" applyNumberFormat="1" applyFont="1" applyFill="1" applyBorder="1"/>
    <xf numFmtId="3" fontId="44" fillId="28" borderId="12" xfId="64" applyNumberFormat="1" applyFont="1" applyFill="1" applyBorder="1"/>
    <xf numFmtId="3" fontId="44" fillId="28" borderId="12" xfId="65" applyNumberFormat="1" applyFont="1" applyFill="1" applyBorder="1"/>
    <xf numFmtId="3" fontId="44" fillId="28" borderId="12" xfId="66" applyNumberFormat="1" applyFont="1" applyFill="1" applyBorder="1"/>
    <xf numFmtId="3" fontId="44" fillId="28" borderId="12" xfId="67" applyNumberFormat="1" applyFont="1" applyFill="1" applyBorder="1"/>
    <xf numFmtId="3" fontId="36" fillId="28" borderId="12" xfId="39" applyNumberFormat="1" applyFont="1" applyFill="1" applyBorder="1" applyAlignment="1">
      <alignment horizontal="center"/>
    </xf>
    <xf numFmtId="0" fontId="8" fillId="28" borderId="0" xfId="39" applyFont="1" applyFill="1"/>
    <xf numFmtId="3" fontId="44" fillId="26" borderId="12" xfId="58" applyNumberFormat="1" applyFont="1" applyFill="1" applyBorder="1"/>
    <xf numFmtId="0" fontId="48" fillId="0" borderId="0" xfId="0" applyFont="1" applyFill="1" applyAlignment="1">
      <alignment horizontal="center"/>
    </xf>
    <xf numFmtId="4" fontId="48" fillId="0" borderId="0" xfId="0" applyNumberFormat="1" applyFont="1" applyFill="1"/>
    <xf numFmtId="0" fontId="47" fillId="27" borderId="0" xfId="0" applyFont="1" applyFill="1" applyAlignment="1">
      <alignment horizontal="center" wrapText="1"/>
    </xf>
    <xf numFmtId="0" fontId="47" fillId="27" borderId="0" xfId="0" applyFont="1" applyFill="1" applyAlignment="1">
      <alignment wrapText="1"/>
    </xf>
    <xf numFmtId="4" fontId="48" fillId="27" borderId="0" xfId="0" applyNumberFormat="1" applyFont="1" applyFill="1"/>
    <xf numFmtId="0" fontId="1" fillId="0" borderId="0" xfId="39" applyFont="1" applyBorder="1" applyAlignment="1">
      <alignment horizontal="left" vertical="center" wrapText="1"/>
    </xf>
    <xf numFmtId="0" fontId="49" fillId="0" borderId="0" xfId="0" applyNumberFormat="1" applyFont="1"/>
    <xf numFmtId="4" fontId="49" fillId="0" borderId="0" xfId="0" applyNumberFormat="1" applyFont="1"/>
    <xf numFmtId="4" fontId="48" fillId="28" borderId="0" xfId="0" applyNumberFormat="1" applyFont="1" applyFill="1"/>
    <xf numFmtId="0" fontId="49" fillId="0" borderId="0" xfId="0" applyFont="1" applyFill="1" applyAlignment="1">
      <alignment wrapText="1"/>
    </xf>
    <xf numFmtId="4" fontId="49" fillId="0" borderId="0" xfId="0" applyNumberFormat="1" applyFont="1" applyFill="1"/>
    <xf numFmtId="0" fontId="48" fillId="28" borderId="0" xfId="0" applyFont="1" applyFill="1" applyAlignment="1">
      <alignment horizontal="center"/>
    </xf>
    <xf numFmtId="0" fontId="48" fillId="28" borderId="0" xfId="0" applyFont="1" applyFill="1"/>
    <xf numFmtId="0" fontId="49" fillId="0" borderId="0" xfId="0" applyFont="1"/>
    <xf numFmtId="0" fontId="15" fillId="0" borderId="0" xfId="0" applyFont="1" applyFill="1"/>
    <xf numFmtId="0" fontId="13" fillId="0" borderId="0" xfId="0" applyFont="1" applyFill="1"/>
    <xf numFmtId="4" fontId="15" fillId="0" borderId="0" xfId="0" applyNumberFormat="1" applyFont="1" applyFill="1"/>
    <xf numFmtId="3" fontId="40" fillId="0" borderId="0" xfId="0" applyNumberFormat="1" applyFont="1" applyFill="1"/>
    <xf numFmtId="0" fontId="33" fillId="0" borderId="0" xfId="0" applyFont="1" applyFill="1"/>
    <xf numFmtId="4" fontId="33" fillId="0" borderId="0" xfId="0" applyNumberFormat="1" applyFont="1" applyFill="1"/>
    <xf numFmtId="3" fontId="33" fillId="0" borderId="0" xfId="0" applyNumberFormat="1" applyFont="1" applyFill="1"/>
    <xf numFmtId="3" fontId="15" fillId="0" borderId="0" xfId="0" applyNumberFormat="1" applyFont="1" applyFill="1"/>
    <xf numFmtId="0" fontId="5" fillId="0" borderId="0" xfId="0" applyFont="1" applyFill="1"/>
    <xf numFmtId="0" fontId="41" fillId="0" borderId="0" xfId="0" applyFont="1" applyAlignment="1">
      <alignment horizontal="center"/>
    </xf>
    <xf numFmtId="0" fontId="34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1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5" fillId="0" borderId="1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1" fillId="0" borderId="0" xfId="39" applyFont="1" applyAlignment="1">
      <alignment horizontal="center"/>
    </xf>
    <xf numFmtId="0" fontId="8" fillId="0" borderId="18" xfId="39" applyFont="1" applyBorder="1" applyAlignment="1">
      <alignment horizontal="right"/>
    </xf>
    <xf numFmtId="0" fontId="12" fillId="0" borderId="12" xfId="39" applyFont="1" applyBorder="1" applyAlignment="1">
      <alignment horizontal="center" wrapText="1"/>
    </xf>
    <xf numFmtId="0" fontId="12" fillId="0" borderId="12" xfId="39" applyFont="1" applyBorder="1" applyAlignment="1">
      <alignment horizontal="center"/>
    </xf>
    <xf numFmtId="0" fontId="12" fillId="0" borderId="16" xfId="39" applyFont="1" applyBorder="1" applyAlignment="1">
      <alignment horizontal="center"/>
    </xf>
    <xf numFmtId="0" fontId="12" fillId="0" borderId="14" xfId="39" applyFont="1" applyBorder="1" applyAlignment="1">
      <alignment horizontal="center"/>
    </xf>
    <xf numFmtId="0" fontId="12" fillId="0" borderId="19" xfId="39" applyFont="1" applyBorder="1" applyAlignment="1">
      <alignment horizontal="center"/>
    </xf>
    <xf numFmtId="0" fontId="12" fillId="26" borderId="13" xfId="39" applyFont="1" applyFill="1" applyBorder="1" applyAlignment="1">
      <alignment horizontal="center" wrapText="1"/>
    </xf>
    <xf numFmtId="0" fontId="12" fillId="26" borderId="22" xfId="39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15" fillId="0" borderId="18" xfId="0" applyFont="1" applyBorder="1" applyAlignment="1">
      <alignment horizontal="right"/>
    </xf>
    <xf numFmtId="0" fontId="13" fillId="0" borderId="20" xfId="0" applyFont="1" applyBorder="1" applyAlignment="1">
      <alignment horizontal="center" wrapText="1"/>
    </xf>
    <xf numFmtId="0" fontId="13" fillId="0" borderId="12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2" xfId="0" applyFont="1" applyBorder="1" applyAlignment="1">
      <alignment horizontal="center" wrapText="1"/>
    </xf>
    <xf numFmtId="0" fontId="13" fillId="0" borderId="19" xfId="0" applyFont="1" applyBorder="1" applyAlignment="1">
      <alignment horizontal="center"/>
    </xf>
    <xf numFmtId="0" fontId="13" fillId="26" borderId="13" xfId="0" applyFont="1" applyFill="1" applyBorder="1" applyAlignment="1">
      <alignment horizontal="center" wrapText="1"/>
    </xf>
    <xf numFmtId="0" fontId="13" fillId="26" borderId="21" xfId="0" applyFont="1" applyFill="1" applyBorder="1" applyAlignment="1">
      <alignment horizontal="center" wrapText="1"/>
    </xf>
    <xf numFmtId="0" fontId="48" fillId="27" borderId="0" xfId="0" applyFont="1" applyFill="1" applyAlignment="1">
      <alignment horizontal="center"/>
    </xf>
    <xf numFmtId="4" fontId="48" fillId="27" borderId="0" xfId="0" applyNumberFormat="1" applyFont="1" applyFill="1" applyAlignment="1">
      <alignment horizontal="center"/>
    </xf>
    <xf numFmtId="0" fontId="48" fillId="28" borderId="0" xfId="0" applyFont="1" applyFill="1" applyAlignment="1">
      <alignment horizontal="center"/>
    </xf>
    <xf numFmtId="0" fontId="45" fillId="27" borderId="0" xfId="0" applyFont="1" applyFill="1" applyAlignment="1">
      <alignment horizontal="center" wrapText="1"/>
    </xf>
    <xf numFmtId="0" fontId="30" fillId="27" borderId="0" xfId="0" applyFont="1" applyFill="1" applyAlignment="1">
      <alignment horizontal="center"/>
    </xf>
    <xf numFmtId="4" fontId="30" fillId="27" borderId="0" xfId="0" applyNumberFormat="1" applyFont="1" applyFill="1" applyAlignment="1">
      <alignment horizontal="center"/>
    </xf>
    <xf numFmtId="0" fontId="14" fillId="28" borderId="0" xfId="0" applyFont="1" applyFill="1" applyAlignment="1">
      <alignment horizontal="center"/>
    </xf>
    <xf numFmtId="0" fontId="47" fillId="27" borderId="0" xfId="0" applyFont="1" applyFill="1" applyAlignment="1">
      <alignment horizontal="center" wrapText="1"/>
    </xf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3.2843386362298519</c:v>
                </c:pt>
                <c:pt idx="2">
                  <c:v>0.12318889467127141</c:v>
                </c:pt>
                <c:pt idx="3">
                  <c:v>0.24712641420435413</c:v>
                </c:pt>
                <c:pt idx="4">
                  <c:v>0.53225890844673585</c:v>
                </c:pt>
                <c:pt idx="5">
                  <c:v>8.4888712008960761E-3</c:v>
                </c:pt>
                <c:pt idx="6">
                  <c:v>1.3092914101035618</c:v>
                </c:pt>
                <c:pt idx="7">
                  <c:v>9.7468283347611484E-2</c:v>
                </c:pt>
                <c:pt idx="8">
                  <c:v>2.7471858768254229E-2</c:v>
                </c:pt>
                <c:pt idx="9">
                  <c:v>0</c:v>
                </c:pt>
                <c:pt idx="10">
                  <c:v>94.370366723027459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92811008"/>
        <c:axId val="192812544"/>
      </c:barChart>
      <c:catAx>
        <c:axId val="1928110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2812544"/>
        <c:crosses val="autoZero"/>
        <c:auto val="1"/>
        <c:lblAlgn val="ctr"/>
        <c:lblOffset val="100"/>
        <c:tickLblSkip val="1"/>
        <c:tickMarkSkip val="1"/>
      </c:catAx>
      <c:valAx>
        <c:axId val="1928125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281100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88" r="0.7500000000000078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297"/>
          <c:y val="3.42857142857148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546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5.4689719815536775E-2</c:v>
                </c:pt>
                <c:pt idx="1">
                  <c:v>3.2827611766996072</c:v>
                </c:pt>
                <c:pt idx="2">
                  <c:v>1.5774595302452551E-3</c:v>
                </c:pt>
                <c:pt idx="3">
                  <c:v>93.52220149119745</c:v>
                </c:pt>
                <c:pt idx="4">
                  <c:v>9.7468283347611484E-2</c:v>
                </c:pt>
                <c:pt idx="5">
                  <c:v>1.3358943293000707</c:v>
                </c:pt>
                <c:pt idx="7">
                  <c:v>1.3350922312338442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66471168"/>
        <c:axId val="166472704"/>
      </c:barChart>
      <c:catAx>
        <c:axId val="1664711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6472704"/>
        <c:crosses val="autoZero"/>
        <c:auto val="1"/>
        <c:lblAlgn val="ctr"/>
        <c:lblOffset val="100"/>
        <c:tickLblSkip val="1"/>
        <c:tickMarkSkip val="1"/>
      </c:catAx>
      <c:valAx>
        <c:axId val="1664727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647116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88" r="0.7500000000000078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7101"/>
          <c:y val="2.52365304730613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383"/>
          <c:w val="0.93062483092831194"/>
          <c:h val="0.4225727200376320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17.975354622528894</c:v>
                </c:pt>
                <c:pt idx="1">
                  <c:v>1.910162062222081</c:v>
                </c:pt>
                <c:pt idx="2">
                  <c:v>0.92793390587119395</c:v>
                </c:pt>
                <c:pt idx="3">
                  <c:v>0</c:v>
                </c:pt>
                <c:pt idx="4">
                  <c:v>3.1549190604908323E-2</c:v>
                </c:pt>
                <c:pt idx="5">
                  <c:v>0</c:v>
                </c:pt>
                <c:pt idx="6">
                  <c:v>0.11772125951984011</c:v>
                </c:pt>
                <c:pt idx="7">
                  <c:v>6.0224196472505084E-2</c:v>
                </c:pt>
                <c:pt idx="8">
                  <c:v>0.57370064186849179</c:v>
                </c:pt>
                <c:pt idx="9">
                  <c:v>0.22882520999331174</c:v>
                </c:pt>
                <c:pt idx="10">
                  <c:v>5.2470581832315746E-2</c:v>
                </c:pt>
                <c:pt idx="11">
                  <c:v>1.5562039314904141</c:v>
                </c:pt>
                <c:pt idx="12">
                  <c:v>0.72921408860870296</c:v>
                </c:pt>
                <c:pt idx="13">
                  <c:v>4.7029683283079438E-2</c:v>
                </c:pt>
                <c:pt idx="14">
                  <c:v>1.2207397835922915</c:v>
                </c:pt>
                <c:pt idx="15">
                  <c:v>2.4062941986794481E-3</c:v>
                </c:pt>
                <c:pt idx="16">
                  <c:v>8.3551881898591956E-3</c:v>
                </c:pt>
                <c:pt idx="17">
                  <c:v>4.2839311666149793E-2</c:v>
                </c:pt>
                <c:pt idx="18">
                  <c:v>1.4036716158963449E-2</c:v>
                </c:pt>
                <c:pt idx="19">
                  <c:v>0.46341215776235045</c:v>
                </c:pt>
                <c:pt idx="20">
                  <c:v>0.21818404231470709</c:v>
                </c:pt>
                <c:pt idx="21">
                  <c:v>4.2325177602544527E-2</c:v>
                </c:pt>
                <c:pt idx="22">
                  <c:v>0.19544961537132327</c:v>
                </c:pt>
                <c:pt idx="23">
                  <c:v>0.23087056006218928</c:v>
                </c:pt>
                <c:pt idx="24">
                  <c:v>2.312716090953025E-2</c:v>
                </c:pt>
                <c:pt idx="25">
                  <c:v>5.579928880715565E-2</c:v>
                </c:pt>
                <c:pt idx="26">
                  <c:v>0.16217086068989103</c:v>
                </c:pt>
                <c:pt idx="27">
                  <c:v>0</c:v>
                </c:pt>
                <c:pt idx="28">
                  <c:v>5.5612132591702799E-2</c:v>
                </c:pt>
                <c:pt idx="29">
                  <c:v>0.70116739289298358</c:v>
                </c:pt>
                <c:pt idx="30">
                  <c:v>2.4875692585092337</c:v>
                </c:pt>
                <c:pt idx="31">
                  <c:v>0.20820519631984297</c:v>
                </c:pt>
                <c:pt idx="32">
                  <c:v>4.1709099443777101E-3</c:v>
                </c:pt>
                <c:pt idx="33">
                  <c:v>1.2365678520991609E-2</c:v>
                </c:pt>
                <c:pt idx="34">
                  <c:v>3.208392264905931E-3</c:v>
                </c:pt>
                <c:pt idx="35">
                  <c:v>65.68755376759573</c:v>
                </c:pt>
                <c:pt idx="36">
                  <c:v>1.0654134930675332</c:v>
                </c:pt>
                <c:pt idx="37">
                  <c:v>0.16699053963415536</c:v>
                </c:pt>
                <c:pt idx="38">
                  <c:v>1.4036716158963448E-3</c:v>
                </c:pt>
                <c:pt idx="39">
                  <c:v>5.9488939911797462E-3</c:v>
                </c:pt>
                <c:pt idx="40">
                  <c:v>0.11372413748981147</c:v>
                </c:pt>
                <c:pt idx="41">
                  <c:v>2.874184737311563E-3</c:v>
                </c:pt>
                <c:pt idx="42">
                  <c:v>3.4089167814625515E-3</c:v>
                </c:pt>
                <c:pt idx="43">
                  <c:v>0</c:v>
                </c:pt>
                <c:pt idx="44">
                  <c:v>0</c:v>
                </c:pt>
                <c:pt idx="45">
                  <c:v>1.2833569059623724E-2</c:v>
                </c:pt>
                <c:pt idx="46">
                  <c:v>0</c:v>
                </c:pt>
                <c:pt idx="47">
                  <c:v>0</c:v>
                </c:pt>
                <c:pt idx="48">
                  <c:v>1.6041961324529657E-2</c:v>
                </c:pt>
                <c:pt idx="49">
                  <c:v>0.34823893322967731</c:v>
                </c:pt>
                <c:pt idx="50">
                  <c:v>0</c:v>
                </c:pt>
                <c:pt idx="52">
                  <c:v>2.2131634388076797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72883328"/>
        <c:axId val="178472064"/>
      </c:barChart>
      <c:catAx>
        <c:axId val="1728833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8472064"/>
        <c:crosses val="autoZero"/>
        <c:auto val="1"/>
        <c:lblAlgn val="ctr"/>
        <c:lblOffset val="100"/>
        <c:tickLblSkip val="1"/>
        <c:tickMarkSkip val="1"/>
      </c:catAx>
      <c:valAx>
        <c:axId val="1784720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288332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88" r="0.75000000000000788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244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106"/>
          <c:w val="0.93333424025792178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5.4689719815542347E-2</c:v>
                </c:pt>
                <c:pt idx="1">
                  <c:v>3.2827611766897413</c:v>
                </c:pt>
                <c:pt idx="2">
                  <c:v>1.577459530245416E-3</c:v>
                </c:pt>
                <c:pt idx="3">
                  <c:v>93.522201491206999</c:v>
                </c:pt>
                <c:pt idx="4">
                  <c:v>9.7468283347621421E-2</c:v>
                </c:pt>
                <c:pt idx="5">
                  <c:v>1.335894329300207</c:v>
                </c:pt>
                <c:pt idx="7">
                  <c:v>1.3350922312339804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78508544"/>
        <c:axId val="178510080"/>
      </c:barChart>
      <c:catAx>
        <c:axId val="1785085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8510080"/>
        <c:crosses val="autoZero"/>
        <c:auto val="1"/>
        <c:lblAlgn val="ctr"/>
        <c:lblOffset val="100"/>
        <c:tickLblSkip val="1"/>
        <c:tickMarkSkip val="1"/>
      </c:catAx>
      <c:valAx>
        <c:axId val="1785100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850854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88" r="0.7500000000000078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:a16="http://schemas.microsoft.com/office/drawing/2014/main" xmlns="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:a16="http://schemas.microsoft.com/office/drawing/2014/main" xmlns="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:a16="http://schemas.microsoft.com/office/drawing/2014/main" xmlns="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:a16="http://schemas.microsoft.com/office/drawing/2014/main" xmlns="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:a16="http://schemas.microsoft.com/office/drawing/2014/main" xmlns="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:a16="http://schemas.microsoft.com/office/drawing/2014/main" xmlns="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zoomScale="60" workbookViewId="0">
      <selection activeCell="A11" sqref="A11:I11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38" t="s">
        <v>0</v>
      </c>
      <c r="B2" s="138"/>
      <c r="C2" s="138"/>
      <c r="D2" s="138"/>
      <c r="E2" s="138"/>
    </row>
    <row r="3" spans="1:10" ht="18.75">
      <c r="A3" s="138" t="s">
        <v>1</v>
      </c>
      <c r="B3" s="138"/>
      <c r="C3" s="138"/>
      <c r="D3" s="138"/>
      <c r="E3" s="138"/>
    </row>
    <row r="4" spans="1:10">
      <c r="A4" s="139" t="s">
        <v>2</v>
      </c>
      <c r="B4" s="139"/>
      <c r="C4" s="139"/>
      <c r="D4" s="139"/>
      <c r="E4" s="139"/>
    </row>
    <row r="5" spans="1:10">
      <c r="A5" s="139" t="s">
        <v>3</v>
      </c>
      <c r="B5" s="139"/>
      <c r="C5" s="139"/>
      <c r="D5" s="139"/>
      <c r="E5" s="139"/>
    </row>
    <row r="6" spans="1:10">
      <c r="A6" s="2"/>
      <c r="B6" s="2"/>
      <c r="C6" s="2"/>
      <c r="D6" s="2"/>
      <c r="E6" s="2"/>
    </row>
    <row r="7" spans="1:10" ht="24">
      <c r="A7" s="41" t="s">
        <v>94</v>
      </c>
      <c r="B7" s="3"/>
      <c r="C7" s="3"/>
      <c r="D7" s="3"/>
      <c r="E7" s="3"/>
    </row>
    <row r="8" spans="1:10">
      <c r="A8" s="41" t="s">
        <v>104</v>
      </c>
      <c r="B8" s="3"/>
      <c r="C8" s="3"/>
      <c r="D8" s="3"/>
      <c r="E8" s="3"/>
    </row>
    <row r="9" spans="1:10" ht="15.75" thickBot="1">
      <c r="A9" s="140"/>
      <c r="B9" s="140"/>
      <c r="C9" s="140"/>
      <c r="D9" s="140"/>
      <c r="E9" s="140"/>
      <c r="F9" s="4"/>
      <c r="G9" s="4"/>
      <c r="H9" s="4"/>
      <c r="I9" s="4"/>
    </row>
    <row r="10" spans="1:10" ht="59.25" customHeight="1">
      <c r="A10" s="141" t="s">
        <v>107</v>
      </c>
      <c r="B10" s="141"/>
      <c r="C10" s="141"/>
      <c r="D10" s="141"/>
      <c r="E10" s="141"/>
      <c r="F10" s="141"/>
      <c r="G10" s="141"/>
      <c r="H10" s="141"/>
      <c r="I10" s="141"/>
      <c r="J10" s="50"/>
    </row>
    <row r="11" spans="1:10" ht="33.75">
      <c r="A11" s="137" t="s">
        <v>4</v>
      </c>
      <c r="B11" s="137"/>
      <c r="C11" s="137"/>
      <c r="D11" s="137"/>
      <c r="E11" s="137"/>
      <c r="F11" s="137"/>
      <c r="G11" s="137"/>
      <c r="H11" s="137"/>
      <c r="I11" s="137"/>
      <c r="J11" s="50"/>
    </row>
    <row r="12" spans="1:10" ht="33.75">
      <c r="A12" s="137" t="s">
        <v>95</v>
      </c>
      <c r="B12" s="137"/>
      <c r="C12" s="137"/>
      <c r="D12" s="137"/>
      <c r="E12" s="137"/>
      <c r="F12" s="137"/>
      <c r="G12" s="137"/>
      <c r="H12" s="137"/>
      <c r="I12" s="137"/>
      <c r="J12" s="49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topLeftCell="A13" workbookViewId="0">
      <selection activeCell="L27" sqref="L27"/>
    </sheetView>
  </sheetViews>
  <sheetFormatPr defaultColWidth="9.140625"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5703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8" style="8" bestFit="1" customWidth="1"/>
    <col min="9" max="9" width="13" style="8" customWidth="1"/>
    <col min="10" max="10" width="11.28515625" style="8" bestFit="1" customWidth="1"/>
    <col min="11" max="11" width="11.140625" style="8" customWidth="1"/>
    <col min="12" max="12" width="11.28515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2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44" t="str">
        <f>ПОЧЕТНА!A10</f>
        <v>XIV Измене и допуне финансијског плана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</row>
    <row r="10" spans="2:13" ht="15">
      <c r="B10" s="145" t="s">
        <v>98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</row>
    <row r="12" spans="2:13" ht="15">
      <c r="B12" s="146" t="s">
        <v>96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</row>
    <row r="13" spans="2:13" ht="15">
      <c r="E13" s="11"/>
      <c r="F13" s="11"/>
      <c r="G13" s="11"/>
      <c r="H13" s="11"/>
      <c r="I13" s="11"/>
      <c r="L13" s="147" t="s">
        <v>7</v>
      </c>
      <c r="M13" s="147"/>
    </row>
    <row r="14" spans="2:13" ht="15" customHeight="1">
      <c r="B14" s="148" t="s">
        <v>8</v>
      </c>
      <c r="C14" s="149" t="s">
        <v>9</v>
      </c>
      <c r="D14" s="150" t="s">
        <v>10</v>
      </c>
      <c r="E14" s="151"/>
      <c r="F14" s="151"/>
      <c r="G14" s="151"/>
      <c r="H14" s="151"/>
      <c r="I14" s="151"/>
      <c r="J14" s="151"/>
      <c r="K14" s="151"/>
      <c r="L14" s="152"/>
      <c r="M14" s="148" t="s">
        <v>11</v>
      </c>
    </row>
    <row r="15" spans="2:13" ht="12.75" customHeight="1">
      <c r="B15" s="148"/>
      <c r="C15" s="149"/>
      <c r="D15" s="148" t="s">
        <v>12</v>
      </c>
      <c r="E15" s="149" t="s">
        <v>13</v>
      </c>
      <c r="F15" s="149"/>
      <c r="G15" s="149"/>
      <c r="H15" s="149"/>
      <c r="I15" s="148" t="s">
        <v>14</v>
      </c>
      <c r="J15" s="148" t="s">
        <v>15</v>
      </c>
      <c r="K15" s="153" t="s">
        <v>91</v>
      </c>
      <c r="L15" s="148" t="s">
        <v>16</v>
      </c>
      <c r="M15" s="149"/>
    </row>
    <row r="16" spans="2:13" ht="27" customHeight="1">
      <c r="B16" s="148"/>
      <c r="C16" s="149"/>
      <c r="D16" s="148"/>
      <c r="E16" s="12" t="s">
        <v>17</v>
      </c>
      <c r="F16" s="70" t="s">
        <v>18</v>
      </c>
      <c r="G16" s="12" t="s">
        <v>19</v>
      </c>
      <c r="H16" s="12" t="s">
        <v>20</v>
      </c>
      <c r="I16" s="148"/>
      <c r="J16" s="148"/>
      <c r="K16" s="154"/>
      <c r="L16" s="148"/>
      <c r="M16" s="149"/>
    </row>
    <row r="17" spans="2:15" ht="35.25" customHeight="1">
      <c r="B17" s="36">
        <v>7321</v>
      </c>
      <c r="C17" s="37" t="s">
        <v>21</v>
      </c>
      <c r="D17" s="47">
        <f>SUM(E17:L17)</f>
        <v>0</v>
      </c>
      <c r="E17" s="73"/>
      <c r="F17" s="73"/>
      <c r="G17" s="73"/>
      <c r="H17" s="73"/>
      <c r="I17" s="73"/>
      <c r="J17" s="73"/>
      <c r="K17" s="73"/>
      <c r="L17" s="73"/>
      <c r="M17" s="38">
        <f t="shared" ref="M17:M29" si="0">D17/$D$29*100</f>
        <v>0</v>
      </c>
    </row>
    <row r="18" spans="2:15" ht="35.25" customHeight="1">
      <c r="B18" s="36">
        <v>7331</v>
      </c>
      <c r="C18" s="37" t="s">
        <v>89</v>
      </c>
      <c r="D18" s="47">
        <f>SUM(E18:L18)</f>
        <v>245681078.75</v>
      </c>
      <c r="E18" s="73"/>
      <c r="F18" s="71">
        <f>180648404.63+31299011.94+16047720+9205412.4+3458386.44+4904143.34</f>
        <v>245563078.75</v>
      </c>
      <c r="G18" s="74">
        <v>118000</v>
      </c>
      <c r="H18" s="73"/>
      <c r="I18" s="73"/>
      <c r="J18" s="73"/>
      <c r="K18" s="73"/>
      <c r="L18" s="73"/>
      <c r="M18" s="38">
        <f t="shared" si="0"/>
        <v>3.2843386362298519</v>
      </c>
      <c r="O18" s="56"/>
    </row>
    <row r="19" spans="2:15" ht="35.25" customHeight="1">
      <c r="B19" s="36">
        <v>7323</v>
      </c>
      <c r="C19" s="37" t="s">
        <v>92</v>
      </c>
      <c r="D19" s="47">
        <f t="shared" ref="D19:D20" si="1">SUM(E19:L19)</f>
        <v>9215000</v>
      </c>
      <c r="E19" s="73"/>
      <c r="F19" s="73"/>
      <c r="G19" s="73"/>
      <c r="H19" s="73"/>
      <c r="I19" s="73"/>
      <c r="J19" s="73"/>
      <c r="K19" s="73">
        <v>9215000</v>
      </c>
      <c r="L19" s="73"/>
      <c r="M19" s="38">
        <f t="shared" si="0"/>
        <v>0.12318889467127141</v>
      </c>
    </row>
    <row r="20" spans="2:15" ht="35.25" customHeight="1">
      <c r="B20" s="36">
        <v>7324</v>
      </c>
      <c r="C20" s="37" t="s">
        <v>93</v>
      </c>
      <c r="D20" s="47">
        <f t="shared" si="1"/>
        <v>18486000</v>
      </c>
      <c r="E20" s="73"/>
      <c r="F20" s="73"/>
      <c r="G20" s="73"/>
      <c r="H20" s="73"/>
      <c r="I20" s="73"/>
      <c r="J20" s="73"/>
      <c r="K20" s="73">
        <v>18486000</v>
      </c>
      <c r="L20" s="73"/>
      <c r="M20" s="38">
        <f t="shared" si="0"/>
        <v>0.24712641420435413</v>
      </c>
    </row>
    <row r="21" spans="2:15" ht="35.25" customHeight="1">
      <c r="B21" s="36">
        <v>7414</v>
      </c>
      <c r="C21" s="37" t="s">
        <v>77</v>
      </c>
      <c r="D21" s="47">
        <f>SUM(E21:L21)</f>
        <v>39815000</v>
      </c>
      <c r="E21" s="73"/>
      <c r="F21" s="73"/>
      <c r="G21" s="73"/>
      <c r="H21" s="75">
        <v>39815000</v>
      </c>
      <c r="I21" s="73"/>
      <c r="J21" s="73"/>
      <c r="K21" s="73"/>
      <c r="L21" s="73"/>
      <c r="M21" s="38">
        <f t="shared" si="0"/>
        <v>0.53225890844673585</v>
      </c>
    </row>
    <row r="22" spans="2:15" ht="35.25" customHeight="1">
      <c r="B22" s="36">
        <v>7421</v>
      </c>
      <c r="C22" s="37" t="s">
        <v>85</v>
      </c>
      <c r="D22" s="47">
        <f>SUM(E22:L22)</f>
        <v>635000</v>
      </c>
      <c r="E22" s="73"/>
      <c r="F22" s="73"/>
      <c r="G22" s="73"/>
      <c r="H22" s="73"/>
      <c r="I22" s="73"/>
      <c r="J22" s="111">
        <f>35000+600000</f>
        <v>635000</v>
      </c>
      <c r="K22" s="73"/>
      <c r="L22" s="73"/>
      <c r="M22" s="38">
        <f t="shared" si="0"/>
        <v>8.4888712008960761E-3</v>
      </c>
    </row>
    <row r="23" spans="2:15" ht="35.25" customHeight="1">
      <c r="B23" s="36">
        <v>7423</v>
      </c>
      <c r="C23" s="37" t="s">
        <v>22</v>
      </c>
      <c r="D23" s="47">
        <f t="shared" ref="D23:D27" si="2">SUM(E23:L23)</f>
        <v>97940000</v>
      </c>
      <c r="E23" s="73"/>
      <c r="F23" s="73"/>
      <c r="G23" s="73"/>
      <c r="H23" s="73"/>
      <c r="I23" s="73"/>
      <c r="J23" s="111">
        <f>96400000+1540000</f>
        <v>97940000</v>
      </c>
      <c r="K23" s="73"/>
      <c r="L23" s="73"/>
      <c r="M23" s="38">
        <f t="shared" si="0"/>
        <v>1.3092914101035618</v>
      </c>
      <c r="N23" s="46"/>
    </row>
    <row r="24" spans="2:15" ht="35.25" customHeight="1">
      <c r="B24" s="36">
        <v>7441</v>
      </c>
      <c r="C24" s="37" t="s">
        <v>23</v>
      </c>
      <c r="D24" s="47">
        <f t="shared" si="2"/>
        <v>7291000</v>
      </c>
      <c r="E24" s="73"/>
      <c r="F24" s="73"/>
      <c r="G24" s="73"/>
      <c r="H24" s="73"/>
      <c r="I24" s="111">
        <f>5881000+1410000</f>
        <v>7291000</v>
      </c>
      <c r="J24" s="73"/>
      <c r="K24" s="73"/>
      <c r="L24" s="73"/>
      <c r="M24" s="38">
        <f t="shared" si="0"/>
        <v>9.7468283347611484E-2</v>
      </c>
      <c r="N24" s="112">
        <v>1410000</v>
      </c>
    </row>
    <row r="25" spans="2:15" ht="35.25" customHeight="1">
      <c r="B25" s="36">
        <v>7451</v>
      </c>
      <c r="C25" s="37" t="s">
        <v>24</v>
      </c>
      <c r="D25" s="47">
        <f t="shared" si="2"/>
        <v>2055000</v>
      </c>
      <c r="E25" s="73"/>
      <c r="F25" s="73"/>
      <c r="G25" s="73"/>
      <c r="H25" s="74">
        <v>700000</v>
      </c>
      <c r="I25" s="73"/>
      <c r="J25" s="73">
        <v>1355000</v>
      </c>
      <c r="K25" s="73"/>
      <c r="L25" s="73"/>
      <c r="M25" s="38">
        <f t="shared" si="0"/>
        <v>2.7471858768254229E-2</v>
      </c>
      <c r="N25" s="46"/>
    </row>
    <row r="26" spans="2:15" ht="35.25" customHeight="1">
      <c r="B26" s="36">
        <v>7711</v>
      </c>
      <c r="C26" s="37" t="s">
        <v>78</v>
      </c>
      <c r="D26" s="47">
        <f t="shared" si="2"/>
        <v>0</v>
      </c>
      <c r="E26" s="73"/>
      <c r="F26" s="73"/>
      <c r="G26" s="73"/>
      <c r="H26" s="73"/>
      <c r="I26" s="73"/>
      <c r="J26" s="73"/>
      <c r="K26" s="73"/>
      <c r="L26" s="73"/>
      <c r="M26" s="38">
        <f t="shared" si="0"/>
        <v>0</v>
      </c>
    </row>
    <row r="27" spans="2:15" ht="35.25" customHeight="1">
      <c r="B27" s="36">
        <v>7811</v>
      </c>
      <c r="C27" s="37" t="s">
        <v>25</v>
      </c>
      <c r="D27" s="47">
        <f t="shared" si="2"/>
        <v>7059264000</v>
      </c>
      <c r="E27" s="73">
        <v>4091000</v>
      </c>
      <c r="F27" s="73"/>
      <c r="G27" s="73"/>
      <c r="H27" s="103">
        <f>5905295000+22638000+980000+26692000+75512000+970041000-45855000</f>
        <v>6955303000</v>
      </c>
      <c r="I27" s="73"/>
      <c r="J27" s="73"/>
      <c r="K27" s="73"/>
      <c r="L27" s="111">
        <f>54015000+45855000</f>
        <v>99870000</v>
      </c>
      <c r="M27" s="38">
        <f t="shared" si="0"/>
        <v>94.370366723027459</v>
      </c>
      <c r="N27" s="46"/>
      <c r="O27" s="45"/>
    </row>
    <row r="28" spans="2:15" ht="35.25" customHeight="1">
      <c r="B28" s="36">
        <v>7911</v>
      </c>
      <c r="C28" s="37" t="s">
        <v>13</v>
      </c>
      <c r="D28" s="47">
        <f>SUM(E28:L28)</f>
        <v>0</v>
      </c>
      <c r="E28" s="73"/>
      <c r="F28" s="73"/>
      <c r="G28" s="73"/>
      <c r="H28" s="73"/>
      <c r="I28" s="73"/>
      <c r="J28" s="73"/>
      <c r="K28" s="73"/>
      <c r="L28" s="73"/>
      <c r="M28" s="38">
        <f t="shared" si="0"/>
        <v>0</v>
      </c>
      <c r="N28" s="43"/>
    </row>
    <row r="29" spans="2:15" ht="24" customHeight="1">
      <c r="B29" s="39" t="s">
        <v>26</v>
      </c>
      <c r="C29" s="39"/>
      <c r="D29" s="40">
        <f>SUM(E29:L29)</f>
        <v>7480382078.75</v>
      </c>
      <c r="E29" s="40">
        <f t="shared" ref="E29:L29" si="3">SUM(E17:E28)</f>
        <v>4091000</v>
      </c>
      <c r="F29" s="40">
        <f t="shared" si="3"/>
        <v>245563078.75</v>
      </c>
      <c r="G29" s="40">
        <f t="shared" si="3"/>
        <v>118000</v>
      </c>
      <c r="H29" s="40">
        <f t="shared" si="3"/>
        <v>6995818000</v>
      </c>
      <c r="I29" s="40">
        <f t="shared" si="3"/>
        <v>7291000</v>
      </c>
      <c r="J29" s="40">
        <f t="shared" si="3"/>
        <v>99930000</v>
      </c>
      <c r="K29" s="40">
        <f t="shared" si="3"/>
        <v>27701000</v>
      </c>
      <c r="L29" s="40">
        <f t="shared" si="3"/>
        <v>99870000</v>
      </c>
      <c r="M29" s="40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99.629684691124368</v>
      </c>
      <c r="E30" s="15">
        <f>E29/$D$29*100</f>
        <v>5.4689719815536775E-2</v>
      </c>
      <c r="F30" s="15">
        <f t="shared" ref="F30:L30" si="4">F29/$D$29*100</f>
        <v>3.2827611766996072</v>
      </c>
      <c r="G30" s="15">
        <f t="shared" si="4"/>
        <v>1.5774595302452551E-3</v>
      </c>
      <c r="H30" s="15">
        <f t="shared" si="4"/>
        <v>93.52220149119745</v>
      </c>
      <c r="I30" s="15">
        <f t="shared" si="4"/>
        <v>9.7468283347611484E-2</v>
      </c>
      <c r="J30" s="15">
        <f t="shared" si="4"/>
        <v>1.3358943293000707</v>
      </c>
      <c r="K30" s="15"/>
      <c r="L30" s="15">
        <f t="shared" si="4"/>
        <v>1.3350922312338442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5"/>
      <c r="E32" s="45"/>
      <c r="F32" s="45"/>
      <c r="H32" s="45"/>
    </row>
    <row r="33" spans="5:12">
      <c r="E33" s="45">
        <f>E29-РАСХОДИ!E73</f>
        <v>0</v>
      </c>
      <c r="F33" s="45">
        <f>F29-РАСХОДИ!F73</f>
        <v>7.6299905776977539E-4</v>
      </c>
      <c r="G33" s="45">
        <f>G29-РАСХОДИ!G73</f>
        <v>0</v>
      </c>
      <c r="H33" s="45">
        <f>H29-РАСХОДИ!H73</f>
        <v>0</v>
      </c>
      <c r="I33" s="45">
        <f>I29-РАСХОДИ!I73</f>
        <v>0</v>
      </c>
      <c r="J33" s="45">
        <f>J29-РАСХОДИ!J73</f>
        <v>0</v>
      </c>
      <c r="K33" s="45">
        <f>K29-РАСХОДИ!K73</f>
        <v>0</v>
      </c>
      <c r="L33" s="45">
        <f>L29-РАСХОДИ!L73</f>
        <v>0</v>
      </c>
    </row>
    <row r="39" spans="5:12" ht="12.75" customHeight="1"/>
    <row r="97" spans="9:13" ht="14.25">
      <c r="I97" s="142" t="s">
        <v>28</v>
      </c>
      <c r="J97" s="142"/>
      <c r="K97" s="142"/>
      <c r="L97" s="142"/>
      <c r="M97" s="142"/>
    </row>
    <row r="98" spans="9:13">
      <c r="I98" s="143"/>
      <c r="J98" s="143"/>
      <c r="K98" s="143"/>
      <c r="L98" s="143"/>
      <c r="M98" s="143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topLeftCell="A25" workbookViewId="0">
      <selection activeCell="I42" sqref="I42"/>
    </sheetView>
  </sheetViews>
  <sheetFormatPr defaultColWidth="9.140625"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1.7109375" style="128" bestFit="1" customWidth="1"/>
    <col min="15" max="15" width="9.5703125" style="128" bestFit="1" customWidth="1"/>
    <col min="16" max="16" width="12.42578125" style="128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2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44" t="str">
        <f>ПОЧЕТНА!A10</f>
        <v>XIV Измене и допуне финансијског плана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</row>
    <row r="11" spans="2:22" ht="15">
      <c r="B11" s="145" t="s">
        <v>98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</row>
    <row r="12" spans="2:22" s="22" customFormat="1">
      <c r="N12" s="129"/>
      <c r="O12" s="129"/>
      <c r="P12" s="129"/>
    </row>
    <row r="13" spans="2:22" ht="18.75" customHeight="1">
      <c r="B13" s="155" t="s">
        <v>97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</row>
    <row r="14" spans="2:22" ht="21" customHeight="1">
      <c r="L14" s="160" t="s">
        <v>7</v>
      </c>
      <c r="M14" s="160"/>
    </row>
    <row r="15" spans="2:22" ht="12" customHeight="1">
      <c r="B15" s="156" t="s">
        <v>8</v>
      </c>
      <c r="C15" s="162" t="s">
        <v>9</v>
      </c>
      <c r="D15" s="163" t="s">
        <v>29</v>
      </c>
      <c r="E15" s="164"/>
      <c r="F15" s="164"/>
      <c r="G15" s="164"/>
      <c r="H15" s="164"/>
      <c r="I15" s="18"/>
      <c r="J15" s="18"/>
      <c r="K15" s="18"/>
      <c r="L15" s="23"/>
      <c r="M15" s="165" t="s">
        <v>30</v>
      </c>
      <c r="P15" s="130"/>
      <c r="Q15" s="52"/>
      <c r="R15" s="52"/>
      <c r="S15" s="52"/>
      <c r="T15" s="52"/>
      <c r="U15" s="52"/>
      <c r="V15" s="52"/>
    </row>
    <row r="16" spans="2:22" ht="26.25" customHeight="1">
      <c r="B16" s="157"/>
      <c r="C16" s="162"/>
      <c r="D16" s="156" t="s">
        <v>12</v>
      </c>
      <c r="E16" s="163" t="s">
        <v>31</v>
      </c>
      <c r="F16" s="164"/>
      <c r="G16" s="164"/>
      <c r="H16" s="169"/>
      <c r="I16" s="156" t="s">
        <v>14</v>
      </c>
      <c r="J16" s="156" t="s">
        <v>15</v>
      </c>
      <c r="K16" s="170" t="str">
        <f>ПРИХОДИ!K15</f>
        <v>ИПА пројекат</v>
      </c>
      <c r="L16" s="158" t="s">
        <v>16</v>
      </c>
      <c r="M16" s="166"/>
      <c r="P16" s="130"/>
      <c r="Q16" s="52"/>
      <c r="R16" s="52"/>
      <c r="S16" s="52"/>
      <c r="T16" s="52"/>
      <c r="U16" s="52"/>
      <c r="V16" s="52"/>
    </row>
    <row r="17" spans="2:22" ht="26.25" customHeight="1">
      <c r="B17" s="161"/>
      <c r="C17" s="162"/>
      <c r="D17" s="168"/>
      <c r="E17" s="57" t="s">
        <v>17</v>
      </c>
      <c r="F17" s="57" t="s">
        <v>18</v>
      </c>
      <c r="G17" s="57" t="s">
        <v>19</v>
      </c>
      <c r="H17" s="57" t="s">
        <v>20</v>
      </c>
      <c r="I17" s="157"/>
      <c r="J17" s="157"/>
      <c r="K17" s="171"/>
      <c r="L17" s="159"/>
      <c r="M17" s="167"/>
      <c r="P17" s="130"/>
      <c r="Q17" s="52"/>
      <c r="R17" s="52"/>
      <c r="S17" s="52"/>
      <c r="T17" s="52"/>
      <c r="U17" s="52"/>
      <c r="V17" s="52"/>
    </row>
    <row r="18" spans="2:22" s="27" customFormat="1" ht="27.75" customHeight="1">
      <c r="B18" s="24">
        <v>4111</v>
      </c>
      <c r="C18" s="25" t="s">
        <v>32</v>
      </c>
      <c r="D18" s="48">
        <f>SUM(E18:L18)</f>
        <v>1344625205.775274</v>
      </c>
      <c r="E18" s="76">
        <v>192000</v>
      </c>
      <c r="F18" s="96">
        <v>194205.77527398957</v>
      </c>
      <c r="G18" s="76">
        <v>93000</v>
      </c>
      <c r="H18" s="99">
        <f>1126403000+199906000</f>
        <v>1326309000</v>
      </c>
      <c r="I18" s="76"/>
      <c r="J18" s="96">
        <f>16066000+674000</f>
        <v>16740000</v>
      </c>
      <c r="K18" s="76">
        <v>1097000</v>
      </c>
      <c r="L18" s="76"/>
      <c r="M18" s="26">
        <f t="shared" ref="M18:M50" si="0">D18/$D$73*100</f>
        <v>17.975354622528894</v>
      </c>
      <c r="N18" s="131"/>
      <c r="O18" s="132"/>
      <c r="P18" s="133"/>
      <c r="Q18" s="53"/>
      <c r="R18" s="53"/>
      <c r="S18" s="53"/>
      <c r="T18" s="53"/>
      <c r="U18" s="53"/>
      <c r="V18" s="53"/>
    </row>
    <row r="19" spans="2:22" s="27" customFormat="1" ht="24.75" customHeight="1">
      <c r="B19" s="24">
        <v>4121</v>
      </c>
      <c r="C19" s="25" t="s">
        <v>33</v>
      </c>
      <c r="D19" s="48">
        <f t="shared" ref="D19:D72" si="1">SUM(E19:L19)</f>
        <v>142887420.5775274</v>
      </c>
      <c r="E19" s="76">
        <v>20000</v>
      </c>
      <c r="F19" s="96">
        <v>19420.577527398957</v>
      </c>
      <c r="G19" s="76">
        <v>18000</v>
      </c>
      <c r="H19" s="99">
        <f>112640300+28219700</f>
        <v>140860000</v>
      </c>
      <c r="I19" s="76"/>
      <c r="J19" s="96">
        <f>1744000+116000</f>
        <v>1860000</v>
      </c>
      <c r="K19" s="76">
        <v>110000</v>
      </c>
      <c r="L19" s="76"/>
      <c r="M19" s="26">
        <f t="shared" si="0"/>
        <v>1.910162062222081</v>
      </c>
      <c r="N19" s="131"/>
      <c r="O19" s="134"/>
      <c r="P19" s="133"/>
      <c r="Q19" s="53"/>
      <c r="R19" s="53"/>
      <c r="S19" s="53"/>
      <c r="T19" s="53"/>
      <c r="U19" s="53"/>
      <c r="V19" s="53"/>
    </row>
    <row r="20" spans="2:22" ht="26.25" customHeight="1">
      <c r="B20" s="28">
        <v>4122</v>
      </c>
      <c r="C20" s="25" t="s">
        <v>34</v>
      </c>
      <c r="D20" s="48">
        <f t="shared" si="1"/>
        <v>69413001.597426608</v>
      </c>
      <c r="E20" s="76">
        <v>10000</v>
      </c>
      <c r="F20" s="96">
        <v>10001.597426610462</v>
      </c>
      <c r="G20" s="76">
        <v>7000</v>
      </c>
      <c r="H20" s="99">
        <f>58009700+10480300</f>
        <v>68490000</v>
      </c>
      <c r="I20" s="76"/>
      <c r="J20" s="96">
        <f>828000+12000</f>
        <v>840000</v>
      </c>
      <c r="K20" s="76">
        <v>56000</v>
      </c>
      <c r="L20" s="76"/>
      <c r="M20" s="26">
        <f t="shared" si="0"/>
        <v>0.92793390587119395</v>
      </c>
      <c r="N20" s="131"/>
      <c r="O20" s="134"/>
      <c r="P20" s="130"/>
      <c r="Q20" s="52"/>
      <c r="R20" s="52"/>
      <c r="S20" s="52"/>
      <c r="T20" s="52"/>
      <c r="U20" s="52"/>
      <c r="V20" s="52"/>
    </row>
    <row r="21" spans="2:22" ht="26.25" customHeight="1">
      <c r="B21" s="28">
        <v>4123</v>
      </c>
      <c r="C21" s="25" t="s">
        <v>35</v>
      </c>
      <c r="D21" s="48">
        <f t="shared" si="1"/>
        <v>0</v>
      </c>
      <c r="E21" s="76"/>
      <c r="F21" s="76"/>
      <c r="G21" s="76"/>
      <c r="H21" s="76"/>
      <c r="I21" s="76"/>
      <c r="J21" s="76"/>
      <c r="K21" s="76"/>
      <c r="L21" s="76"/>
      <c r="M21" s="26">
        <f t="shared" si="0"/>
        <v>0</v>
      </c>
      <c r="N21" s="132"/>
      <c r="O21" s="132"/>
      <c r="P21" s="130"/>
      <c r="Q21" s="52"/>
      <c r="R21" s="52"/>
      <c r="S21" s="52"/>
      <c r="T21" s="52"/>
      <c r="U21" s="52"/>
      <c r="V21" s="52"/>
    </row>
    <row r="22" spans="2:22" ht="26.25" customHeight="1">
      <c r="B22" s="28">
        <v>4131</v>
      </c>
      <c r="C22" s="25" t="s">
        <v>36</v>
      </c>
      <c r="D22" s="48">
        <f t="shared" si="1"/>
        <v>2360000</v>
      </c>
      <c r="E22" s="76"/>
      <c r="F22" s="76"/>
      <c r="G22" s="76"/>
      <c r="H22" s="76"/>
      <c r="I22" s="76"/>
      <c r="J22" s="76">
        <v>2360000</v>
      </c>
      <c r="K22" s="76"/>
      <c r="L22" s="76"/>
      <c r="M22" s="26">
        <f t="shared" si="0"/>
        <v>3.1549190604908323E-2</v>
      </c>
      <c r="N22" s="132"/>
      <c r="O22" s="132"/>
      <c r="P22" s="130"/>
      <c r="Q22" s="52"/>
      <c r="R22" s="52"/>
      <c r="S22" s="52"/>
      <c r="T22" s="52"/>
      <c r="U22" s="52"/>
      <c r="V22" s="52"/>
    </row>
    <row r="23" spans="2:22" ht="24">
      <c r="B23" s="28">
        <v>4141</v>
      </c>
      <c r="C23" s="25" t="s">
        <v>79</v>
      </c>
      <c r="D23" s="48">
        <f t="shared" si="1"/>
        <v>0</v>
      </c>
      <c r="E23" s="76"/>
      <c r="F23" s="76"/>
      <c r="G23" s="76"/>
      <c r="H23" s="76"/>
      <c r="I23" s="76"/>
      <c r="J23" s="76"/>
      <c r="K23" s="76"/>
      <c r="L23" s="76"/>
      <c r="M23" s="26">
        <f t="shared" si="0"/>
        <v>0</v>
      </c>
      <c r="N23" s="132"/>
      <c r="O23" s="132"/>
      <c r="P23" s="130"/>
      <c r="Q23" s="52"/>
      <c r="R23" s="52"/>
      <c r="S23" s="52"/>
      <c r="T23" s="52"/>
      <c r="U23" s="52"/>
      <c r="V23" s="52"/>
    </row>
    <row r="24" spans="2:22" ht="26.25" customHeight="1">
      <c r="B24" s="28">
        <v>4143</v>
      </c>
      <c r="C24" s="25" t="s">
        <v>37</v>
      </c>
      <c r="D24" s="48">
        <f t="shared" si="1"/>
        <v>8806000</v>
      </c>
      <c r="E24" s="76"/>
      <c r="F24" s="76"/>
      <c r="G24" s="76"/>
      <c r="H24" s="96">
        <f>5994000+2701000+111000</f>
        <v>8806000</v>
      </c>
      <c r="I24" s="76"/>
      <c r="J24" s="76"/>
      <c r="K24" s="76"/>
      <c r="L24" s="76"/>
      <c r="M24" s="26">
        <f t="shared" si="0"/>
        <v>0.11772125951984011</v>
      </c>
      <c r="N24" s="134"/>
      <c r="O24" s="132"/>
      <c r="P24" s="130"/>
      <c r="Q24" s="52"/>
      <c r="R24" s="52"/>
      <c r="S24" s="52"/>
      <c r="T24" s="52"/>
      <c r="U24" s="52"/>
      <c r="V24" s="52"/>
    </row>
    <row r="25" spans="2:22" ht="26.25" customHeight="1">
      <c r="B25" s="28">
        <v>4144</v>
      </c>
      <c r="C25" s="25" t="s">
        <v>87</v>
      </c>
      <c r="D25" s="48">
        <f t="shared" si="1"/>
        <v>4505000</v>
      </c>
      <c r="E25" s="76"/>
      <c r="F25" s="76"/>
      <c r="G25" s="76"/>
      <c r="H25" s="77">
        <v>4505000</v>
      </c>
      <c r="I25" s="76"/>
      <c r="J25" s="76"/>
      <c r="K25" s="76"/>
      <c r="L25" s="76"/>
      <c r="M25" s="26">
        <f t="shared" si="0"/>
        <v>6.0224196472505084E-2</v>
      </c>
      <c r="N25" s="132"/>
      <c r="O25" s="132"/>
      <c r="P25" s="130"/>
      <c r="Q25" s="52"/>
      <c r="R25" s="52"/>
      <c r="S25" s="52"/>
      <c r="T25" s="52"/>
      <c r="U25" s="52"/>
      <c r="V25" s="52"/>
    </row>
    <row r="26" spans="2:22" ht="26.25" customHeight="1">
      <c r="B26" s="28">
        <v>4151</v>
      </c>
      <c r="C26" s="25" t="s">
        <v>38</v>
      </c>
      <c r="D26" s="48">
        <f t="shared" si="1"/>
        <v>42915000</v>
      </c>
      <c r="E26" s="76"/>
      <c r="F26" s="76"/>
      <c r="G26" s="76"/>
      <c r="H26" s="104">
        <f>41232000+1683000</f>
        <v>42915000</v>
      </c>
      <c r="I26" s="76"/>
      <c r="J26" s="76"/>
      <c r="K26" s="76"/>
      <c r="L26" s="76"/>
      <c r="M26" s="26">
        <f t="shared" si="0"/>
        <v>0.57370064186849179</v>
      </c>
      <c r="N26" s="134"/>
      <c r="O26" s="132"/>
      <c r="P26" s="130"/>
      <c r="Q26" s="52"/>
      <c r="R26" s="52"/>
      <c r="S26" s="52"/>
      <c r="T26" s="52"/>
      <c r="U26" s="52"/>
      <c r="V26" s="52"/>
    </row>
    <row r="27" spans="2:22" ht="26.25" customHeight="1">
      <c r="B27" s="28">
        <v>4161</v>
      </c>
      <c r="C27" s="25" t="s">
        <v>39</v>
      </c>
      <c r="D27" s="48">
        <f>SUM(E27:L27)</f>
        <v>17117000</v>
      </c>
      <c r="E27" s="76"/>
      <c r="F27" s="76"/>
      <c r="G27" s="76"/>
      <c r="H27" s="76">
        <v>17117000</v>
      </c>
      <c r="I27" s="76"/>
      <c r="J27" s="76"/>
      <c r="K27" s="76"/>
      <c r="L27" s="76"/>
      <c r="M27" s="26">
        <f t="shared" si="0"/>
        <v>0.22882520999331174</v>
      </c>
      <c r="N27" s="134"/>
      <c r="O27" s="132"/>
      <c r="P27" s="130"/>
      <c r="Q27" s="52"/>
      <c r="R27" s="52"/>
      <c r="S27" s="52"/>
      <c r="T27" s="52"/>
      <c r="U27" s="52"/>
      <c r="V27" s="52"/>
    </row>
    <row r="28" spans="2:22" ht="26.25" customHeight="1">
      <c r="B28" s="28">
        <v>4211</v>
      </c>
      <c r="C28" s="25" t="s">
        <v>40</v>
      </c>
      <c r="D28" s="48">
        <f t="shared" si="1"/>
        <v>3925000</v>
      </c>
      <c r="E28" s="76"/>
      <c r="F28" s="76"/>
      <c r="G28" s="76"/>
      <c r="H28" s="100">
        <f>3500000+300000</f>
        <v>3800000</v>
      </c>
      <c r="I28" s="76">
        <v>5000</v>
      </c>
      <c r="J28" s="101">
        <f>100000+20000</f>
        <v>120000</v>
      </c>
      <c r="K28" s="76"/>
      <c r="L28" s="76"/>
      <c r="M28" s="26">
        <f t="shared" si="0"/>
        <v>5.2470581832315746E-2</v>
      </c>
      <c r="N28" s="134"/>
      <c r="O28" s="132"/>
      <c r="P28" s="130"/>
      <c r="Q28" s="52"/>
      <c r="R28" s="52"/>
      <c r="S28" s="52"/>
      <c r="T28" s="52"/>
      <c r="U28" s="52"/>
      <c r="V28" s="52"/>
    </row>
    <row r="29" spans="2:22" ht="26.25" customHeight="1">
      <c r="B29" s="28">
        <v>4212</v>
      </c>
      <c r="C29" s="25" t="s">
        <v>41</v>
      </c>
      <c r="D29" s="48">
        <f t="shared" si="1"/>
        <v>116410000</v>
      </c>
      <c r="E29" s="76"/>
      <c r="F29" s="76"/>
      <c r="G29" s="76"/>
      <c r="H29" s="102">
        <f>101784000+980000+12766000</f>
        <v>115530000</v>
      </c>
      <c r="I29" s="76"/>
      <c r="J29" s="101">
        <f>320000+560000</f>
        <v>880000</v>
      </c>
      <c r="K29" s="76"/>
      <c r="L29" s="76"/>
      <c r="M29" s="26">
        <f t="shared" si="0"/>
        <v>1.5562039314904141</v>
      </c>
      <c r="N29" s="134"/>
      <c r="O29" s="134"/>
      <c r="P29" s="130"/>
      <c r="Q29" s="52"/>
      <c r="R29" s="52"/>
      <c r="S29" s="52"/>
      <c r="T29" s="52"/>
      <c r="U29" s="52"/>
      <c r="V29" s="52"/>
    </row>
    <row r="30" spans="2:22" ht="26.25" customHeight="1">
      <c r="B30" s="28">
        <v>4213</v>
      </c>
      <c r="C30" s="25" t="s">
        <v>42</v>
      </c>
      <c r="D30" s="48">
        <f t="shared" si="1"/>
        <v>54548000</v>
      </c>
      <c r="E30" s="76"/>
      <c r="F30" s="76"/>
      <c r="G30" s="76"/>
      <c r="H30" s="113">
        <f>61893000-7770000</f>
        <v>54123000</v>
      </c>
      <c r="I30" s="76"/>
      <c r="J30" s="101">
        <f>365000+60000</f>
        <v>425000</v>
      </c>
      <c r="K30" s="76"/>
      <c r="L30" s="76"/>
      <c r="M30" s="26">
        <f t="shared" si="0"/>
        <v>0.72921408860870296</v>
      </c>
      <c r="N30" s="134"/>
      <c r="O30" s="134"/>
      <c r="P30" s="130"/>
      <c r="Q30" s="52"/>
      <c r="R30" s="52"/>
      <c r="S30" s="52"/>
      <c r="T30" s="52"/>
      <c r="U30" s="52"/>
      <c r="V30" s="52"/>
    </row>
    <row r="31" spans="2:22" ht="26.25" customHeight="1">
      <c r="B31" s="28">
        <v>4214</v>
      </c>
      <c r="C31" s="29" t="s">
        <v>43</v>
      </c>
      <c r="D31" s="48">
        <f t="shared" si="1"/>
        <v>3518000</v>
      </c>
      <c r="E31" s="76"/>
      <c r="F31" s="76"/>
      <c r="G31" s="76"/>
      <c r="H31" s="102">
        <f>3037000+461000</f>
        <v>3498000</v>
      </c>
      <c r="I31" s="76"/>
      <c r="J31" s="78">
        <v>20000</v>
      </c>
      <c r="K31" s="76"/>
      <c r="L31" s="76"/>
      <c r="M31" s="26">
        <f t="shared" si="0"/>
        <v>4.7029683283079438E-2</v>
      </c>
      <c r="N31" s="134"/>
      <c r="O31" s="132"/>
      <c r="P31" s="130"/>
      <c r="Q31" s="52"/>
      <c r="R31" s="52"/>
      <c r="S31" s="52"/>
      <c r="T31" s="52"/>
      <c r="U31" s="52"/>
      <c r="V31" s="52"/>
    </row>
    <row r="32" spans="2:22" ht="26.25" customHeight="1">
      <c r="B32" s="28">
        <v>4215</v>
      </c>
      <c r="C32" s="29" t="s">
        <v>44</v>
      </c>
      <c r="D32" s="48">
        <f t="shared" si="1"/>
        <v>91316000</v>
      </c>
      <c r="E32" s="76"/>
      <c r="F32" s="76"/>
      <c r="G32" s="76"/>
      <c r="H32" s="79">
        <v>91316000</v>
      </c>
      <c r="I32" s="76"/>
      <c r="J32" s="76"/>
      <c r="K32" s="76"/>
      <c r="L32" s="76"/>
      <c r="M32" s="26">
        <f t="shared" si="0"/>
        <v>1.2207397835922915</v>
      </c>
      <c r="N32" s="134"/>
      <c r="O32" s="132"/>
      <c r="P32" s="130"/>
      <c r="Q32" s="52"/>
      <c r="R32" s="52"/>
      <c r="S32" s="52"/>
      <c r="T32" s="52"/>
      <c r="U32" s="52"/>
      <c r="V32" s="52"/>
    </row>
    <row r="33" spans="2:22" ht="26.25" customHeight="1">
      <c r="B33" s="28">
        <v>4219</v>
      </c>
      <c r="C33" s="30" t="s">
        <v>45</v>
      </c>
      <c r="D33" s="48">
        <f t="shared" si="1"/>
        <v>180000</v>
      </c>
      <c r="E33" s="76"/>
      <c r="F33" s="76"/>
      <c r="G33" s="76"/>
      <c r="H33" s="80">
        <v>180000</v>
      </c>
      <c r="I33" s="76"/>
      <c r="J33" s="76"/>
      <c r="K33" s="76"/>
      <c r="L33" s="76"/>
      <c r="M33" s="26">
        <f t="shared" si="0"/>
        <v>2.4062941986794481E-3</v>
      </c>
      <c r="N33" s="132"/>
      <c r="O33" s="132"/>
      <c r="P33" s="130"/>
      <c r="Q33" s="52"/>
      <c r="R33" s="52"/>
      <c r="S33" s="52"/>
      <c r="T33" s="52"/>
      <c r="U33" s="52"/>
      <c r="V33" s="52"/>
    </row>
    <row r="34" spans="2:22" ht="26.25" customHeight="1">
      <c r="B34" s="28">
        <v>4221</v>
      </c>
      <c r="C34" s="25" t="s">
        <v>46</v>
      </c>
      <c r="D34" s="48">
        <f t="shared" si="1"/>
        <v>625000</v>
      </c>
      <c r="E34" s="76">
        <v>55000</v>
      </c>
      <c r="F34" s="76"/>
      <c r="G34" s="76"/>
      <c r="H34" s="80">
        <v>450000</v>
      </c>
      <c r="I34" s="76"/>
      <c r="J34" s="76">
        <v>120000</v>
      </c>
      <c r="K34" s="76"/>
      <c r="L34" s="76"/>
      <c r="M34" s="26">
        <f t="shared" si="0"/>
        <v>8.3551881898591956E-3</v>
      </c>
      <c r="N34" s="132"/>
      <c r="O34" s="132"/>
      <c r="P34" s="130"/>
      <c r="Q34" s="52"/>
      <c r="R34" s="52"/>
      <c r="S34" s="52"/>
      <c r="T34" s="52"/>
      <c r="U34" s="52"/>
      <c r="V34" s="52"/>
    </row>
    <row r="35" spans="2:22" ht="26.25" customHeight="1">
      <c r="B35" s="28">
        <v>4222</v>
      </c>
      <c r="C35" s="25" t="s">
        <v>47</v>
      </c>
      <c r="D35" s="48">
        <f t="shared" si="1"/>
        <v>3204544.1925341999</v>
      </c>
      <c r="E35" s="76">
        <v>892000</v>
      </c>
      <c r="F35" s="96">
        <v>33544.192534199843</v>
      </c>
      <c r="G35" s="76"/>
      <c r="H35" s="81">
        <v>10000</v>
      </c>
      <c r="I35" s="76">
        <v>600000</v>
      </c>
      <c r="J35" s="96">
        <f>1100000+380000</f>
        <v>1480000</v>
      </c>
      <c r="K35" s="76">
        <v>189000</v>
      </c>
      <c r="L35" s="76"/>
      <c r="M35" s="26">
        <f t="shared" si="0"/>
        <v>4.2839311666149793E-2</v>
      </c>
      <c r="N35" s="132"/>
      <c r="O35" s="134"/>
      <c r="P35" s="130"/>
      <c r="Q35" s="52"/>
      <c r="R35" s="52"/>
      <c r="S35" s="52"/>
      <c r="T35" s="52"/>
      <c r="U35" s="52"/>
      <c r="V35" s="52"/>
    </row>
    <row r="36" spans="2:22" ht="26.25" customHeight="1">
      <c r="B36" s="28">
        <v>4231</v>
      </c>
      <c r="C36" s="25" t="s">
        <v>48</v>
      </c>
      <c r="D36" s="48">
        <f t="shared" si="1"/>
        <v>1050000</v>
      </c>
      <c r="E36" s="76"/>
      <c r="F36" s="76"/>
      <c r="G36" s="76"/>
      <c r="H36" s="82">
        <v>1000000</v>
      </c>
      <c r="I36" s="76"/>
      <c r="J36" s="76">
        <v>50000</v>
      </c>
      <c r="K36" s="76"/>
      <c r="L36" s="76"/>
      <c r="M36" s="26">
        <f t="shared" si="0"/>
        <v>1.4036716158963449E-2</v>
      </c>
      <c r="N36" s="132"/>
      <c r="O36" s="132"/>
      <c r="P36" s="130"/>
      <c r="Q36" s="52"/>
      <c r="R36" s="52"/>
      <c r="S36" s="52"/>
      <c r="T36" s="52"/>
      <c r="U36" s="52"/>
      <c r="V36" s="52"/>
    </row>
    <row r="37" spans="2:22" ht="26.25" customHeight="1">
      <c r="B37" s="28">
        <v>4232</v>
      </c>
      <c r="C37" s="25" t="s">
        <v>49</v>
      </c>
      <c r="D37" s="48">
        <f t="shared" si="1"/>
        <v>34665000</v>
      </c>
      <c r="E37" s="76"/>
      <c r="F37" s="76"/>
      <c r="G37" s="76"/>
      <c r="H37" s="82">
        <v>34665000</v>
      </c>
      <c r="I37" s="76"/>
      <c r="J37" s="76"/>
      <c r="K37" s="76"/>
      <c r="L37" s="76"/>
      <c r="M37" s="26">
        <f t="shared" si="0"/>
        <v>0.46341215776235045</v>
      </c>
      <c r="N37" s="132"/>
      <c r="O37" s="132"/>
      <c r="P37" s="130"/>
      <c r="Q37" s="52"/>
      <c r="R37" s="52"/>
      <c r="S37" s="52"/>
      <c r="T37" s="52"/>
      <c r="U37" s="52"/>
      <c r="V37" s="52"/>
    </row>
    <row r="38" spans="2:22" ht="26.25" customHeight="1">
      <c r="B38" s="28">
        <v>4233</v>
      </c>
      <c r="C38" s="25" t="s">
        <v>50</v>
      </c>
      <c r="D38" s="48">
        <f t="shared" si="1"/>
        <v>16321000</v>
      </c>
      <c r="E38" s="76">
        <v>160000</v>
      </c>
      <c r="F38" s="76"/>
      <c r="G38" s="76"/>
      <c r="H38" s="82">
        <v>13284000</v>
      </c>
      <c r="I38" s="76">
        <v>807000</v>
      </c>
      <c r="J38" s="101">
        <f>900000+170000</f>
        <v>1070000</v>
      </c>
      <c r="K38" s="76">
        <v>1000000</v>
      </c>
      <c r="L38" s="76"/>
      <c r="M38" s="26">
        <f t="shared" si="0"/>
        <v>0.21818404231470709</v>
      </c>
      <c r="N38" s="134"/>
      <c r="O38" s="134"/>
      <c r="P38" s="130"/>
      <c r="Q38" s="52"/>
      <c r="R38" s="52"/>
      <c r="S38" s="52"/>
      <c r="T38" s="52"/>
      <c r="U38" s="52"/>
      <c r="V38" s="52"/>
    </row>
    <row r="39" spans="2:22" ht="26.25" customHeight="1">
      <c r="B39" s="28">
        <v>4234</v>
      </c>
      <c r="C39" s="25" t="s">
        <v>51</v>
      </c>
      <c r="D39" s="48">
        <f t="shared" si="1"/>
        <v>3166085.0001795269</v>
      </c>
      <c r="E39" s="76"/>
      <c r="F39" s="96">
        <v>176085.00017952675</v>
      </c>
      <c r="G39" s="76"/>
      <c r="H39" s="82">
        <v>1000000</v>
      </c>
      <c r="I39" s="96">
        <v>600000</v>
      </c>
      <c r="J39" s="78">
        <v>395000</v>
      </c>
      <c r="K39" s="76">
        <v>995000</v>
      </c>
      <c r="L39" s="76"/>
      <c r="M39" s="26">
        <f t="shared" si="0"/>
        <v>4.2325177602544527E-2</v>
      </c>
      <c r="N39" s="132"/>
      <c r="O39" s="132"/>
      <c r="P39" s="130"/>
      <c r="Q39" s="52"/>
      <c r="R39" s="52"/>
      <c r="S39" s="52"/>
      <c r="T39" s="52"/>
      <c r="U39" s="52"/>
      <c r="V39" s="52"/>
    </row>
    <row r="40" spans="2:22" ht="26.25" customHeight="1">
      <c r="B40" s="28">
        <v>4235</v>
      </c>
      <c r="C40" s="25" t="s">
        <v>52</v>
      </c>
      <c r="D40" s="48">
        <f t="shared" si="1"/>
        <v>14620378.001220781</v>
      </c>
      <c r="E40" s="76"/>
      <c r="F40" s="96">
        <v>1197378.0012207818</v>
      </c>
      <c r="G40" s="83"/>
      <c r="H40" s="82">
        <v>5256000</v>
      </c>
      <c r="I40" s="76"/>
      <c r="J40" s="78">
        <v>2404000</v>
      </c>
      <c r="K40" s="76">
        <v>5763000</v>
      </c>
      <c r="L40" s="76"/>
      <c r="M40" s="26">
        <f t="shared" si="0"/>
        <v>0.19544961537132327</v>
      </c>
      <c r="N40" s="134"/>
      <c r="O40" s="132"/>
      <c r="P40" s="130"/>
      <c r="Q40" s="52"/>
      <c r="R40" s="52"/>
      <c r="S40" s="52"/>
      <c r="T40" s="52"/>
      <c r="U40" s="52"/>
      <c r="V40" s="52"/>
    </row>
    <row r="41" spans="2:22" ht="26.25" customHeight="1">
      <c r="B41" s="28">
        <v>4236</v>
      </c>
      <c r="C41" s="25" t="s">
        <v>53</v>
      </c>
      <c r="D41" s="48">
        <f t="shared" si="1"/>
        <v>17270000</v>
      </c>
      <c r="E41" s="76"/>
      <c r="F41" s="76"/>
      <c r="G41" s="76"/>
      <c r="H41" s="82">
        <v>16920000</v>
      </c>
      <c r="I41" s="76"/>
      <c r="J41" s="101">
        <f>300000+50000</f>
        <v>350000</v>
      </c>
      <c r="K41" s="76"/>
      <c r="L41" s="76"/>
      <c r="M41" s="26">
        <f t="shared" si="0"/>
        <v>0.23087056006218928</v>
      </c>
      <c r="N41" s="134"/>
      <c r="O41" s="134"/>
      <c r="P41" s="130"/>
      <c r="Q41" s="52"/>
      <c r="R41" s="52"/>
      <c r="S41" s="52"/>
      <c r="T41" s="52"/>
      <c r="U41" s="52"/>
      <c r="V41" s="52"/>
    </row>
    <row r="42" spans="2:22" ht="26.25" customHeight="1">
      <c r="B42" s="28">
        <v>4237</v>
      </c>
      <c r="C42" s="25" t="s">
        <v>54</v>
      </c>
      <c r="D42" s="48">
        <f t="shared" si="1"/>
        <v>1730000</v>
      </c>
      <c r="E42" s="76"/>
      <c r="F42" s="76"/>
      <c r="G42" s="76"/>
      <c r="H42" s="82"/>
      <c r="I42" s="96">
        <v>730000</v>
      </c>
      <c r="J42" s="101">
        <f>900000+100000</f>
        <v>1000000</v>
      </c>
      <c r="K42" s="76"/>
      <c r="L42" s="76"/>
      <c r="M42" s="26">
        <f t="shared" si="0"/>
        <v>2.312716090953025E-2</v>
      </c>
      <c r="N42" s="134"/>
      <c r="O42" s="132"/>
      <c r="P42" s="130"/>
      <c r="Q42" s="52"/>
      <c r="R42" s="52"/>
      <c r="S42" s="52"/>
      <c r="T42" s="52"/>
      <c r="U42" s="52"/>
      <c r="V42" s="52"/>
    </row>
    <row r="43" spans="2:22" ht="26.25" customHeight="1">
      <c r="B43" s="28">
        <v>4239</v>
      </c>
      <c r="C43" s="25" t="s">
        <v>55</v>
      </c>
      <c r="D43" s="48">
        <f t="shared" si="1"/>
        <v>4174000</v>
      </c>
      <c r="E43" s="76"/>
      <c r="F43" s="76"/>
      <c r="G43" s="76"/>
      <c r="H43" s="76">
        <v>950000</v>
      </c>
      <c r="I43" s="76"/>
      <c r="J43" s="105">
        <f>3324000-100000</f>
        <v>3224000</v>
      </c>
      <c r="K43" s="76"/>
      <c r="L43" s="76"/>
      <c r="M43" s="26">
        <f t="shared" si="0"/>
        <v>5.579928880715565E-2</v>
      </c>
      <c r="N43" s="132"/>
      <c r="O43" s="132"/>
      <c r="P43" s="130"/>
      <c r="Q43" s="52"/>
      <c r="R43" s="52"/>
      <c r="S43" s="52"/>
      <c r="T43" s="52"/>
      <c r="U43" s="52"/>
      <c r="V43" s="52"/>
    </row>
    <row r="44" spans="2:22" ht="26.25" customHeight="1">
      <c r="B44" s="28">
        <v>4243</v>
      </c>
      <c r="C44" s="25" t="s">
        <v>56</v>
      </c>
      <c r="D44" s="48">
        <f t="shared" si="1"/>
        <v>12131000</v>
      </c>
      <c r="E44" s="84">
        <v>32000</v>
      </c>
      <c r="F44" s="76"/>
      <c r="G44" s="76"/>
      <c r="H44" s="106">
        <f>9720000+2368000</f>
        <v>12088000</v>
      </c>
      <c r="I44" s="76"/>
      <c r="J44" s="76">
        <v>11000</v>
      </c>
      <c r="K44" s="76"/>
      <c r="L44" s="76"/>
      <c r="M44" s="26">
        <f t="shared" si="0"/>
        <v>0.16217086068989103</v>
      </c>
      <c r="N44" s="134"/>
      <c r="O44" s="132"/>
      <c r="P44" s="130"/>
      <c r="Q44" s="52"/>
      <c r="R44" s="52"/>
      <c r="S44" s="52"/>
      <c r="T44" s="52"/>
      <c r="U44" s="52"/>
      <c r="V44" s="52"/>
    </row>
    <row r="45" spans="2:22" ht="26.25" customHeight="1">
      <c r="B45" s="28">
        <v>4246</v>
      </c>
      <c r="C45" s="25" t="s">
        <v>57</v>
      </c>
      <c r="D45" s="48">
        <f t="shared" si="1"/>
        <v>0</v>
      </c>
      <c r="E45" s="76"/>
      <c r="F45" s="76"/>
      <c r="G45" s="76"/>
      <c r="H45" s="76"/>
      <c r="I45" s="76"/>
      <c r="J45" s="76"/>
      <c r="K45" s="76"/>
      <c r="L45" s="76"/>
      <c r="M45" s="26">
        <f t="shared" si="0"/>
        <v>0</v>
      </c>
      <c r="N45" s="132"/>
      <c r="O45" s="132"/>
      <c r="P45" s="130"/>
      <c r="Q45" s="52"/>
      <c r="R45" s="52"/>
      <c r="S45" s="52"/>
      <c r="T45" s="52"/>
      <c r="U45" s="52"/>
      <c r="V45" s="52"/>
    </row>
    <row r="46" spans="2:22" ht="26.25" customHeight="1">
      <c r="B46" s="28">
        <v>4249</v>
      </c>
      <c r="C46" s="25" t="s">
        <v>58</v>
      </c>
      <c r="D46" s="48">
        <f t="shared" si="1"/>
        <v>4160000</v>
      </c>
      <c r="E46" s="76"/>
      <c r="F46" s="76"/>
      <c r="G46" s="76"/>
      <c r="H46" s="96">
        <f>450000+235000</f>
        <v>685000</v>
      </c>
      <c r="I46" s="76">
        <f>100000+910000</f>
        <v>1010000</v>
      </c>
      <c r="J46" s="76">
        <v>2465000</v>
      </c>
      <c r="K46" s="76"/>
      <c r="L46" s="76"/>
      <c r="M46" s="26">
        <f t="shared" si="0"/>
        <v>5.5612132591702799E-2</v>
      </c>
      <c r="N46" s="131"/>
      <c r="O46" s="132"/>
      <c r="P46" s="130"/>
      <c r="Q46" s="52"/>
      <c r="R46" s="52"/>
      <c r="S46" s="52"/>
      <c r="T46" s="52"/>
      <c r="U46" s="52"/>
      <c r="V46" s="52"/>
    </row>
    <row r="47" spans="2:22" ht="26.25" customHeight="1">
      <c r="B47" s="28">
        <v>4251</v>
      </c>
      <c r="C47" s="25" t="s">
        <v>59</v>
      </c>
      <c r="D47" s="48">
        <f t="shared" si="1"/>
        <v>52450000</v>
      </c>
      <c r="E47" s="76"/>
      <c r="F47" s="76"/>
      <c r="G47" s="76"/>
      <c r="H47" s="85">
        <v>39810000</v>
      </c>
      <c r="I47" s="76"/>
      <c r="J47" s="76">
        <v>12640000</v>
      </c>
      <c r="K47" s="76"/>
      <c r="L47" s="76"/>
      <c r="M47" s="26">
        <f t="shared" si="0"/>
        <v>0.70116739289298358</v>
      </c>
      <c r="N47" s="134"/>
      <c r="O47" s="132"/>
      <c r="P47" s="130"/>
      <c r="Q47" s="52"/>
      <c r="R47" s="52"/>
      <c r="S47" s="52"/>
      <c r="T47" s="52"/>
      <c r="U47" s="52"/>
      <c r="V47" s="52"/>
    </row>
    <row r="48" spans="2:22" ht="26.25" customHeight="1">
      <c r="B48" s="28">
        <v>4252</v>
      </c>
      <c r="C48" s="25" t="s">
        <v>60</v>
      </c>
      <c r="D48" s="48">
        <f t="shared" si="1"/>
        <v>186079685.00999999</v>
      </c>
      <c r="E48" s="76"/>
      <c r="F48" s="86">
        <f>57382404.63+31299011.94+6027882+3458386.44</f>
        <v>98167685.010000005</v>
      </c>
      <c r="G48" s="76"/>
      <c r="H48" s="85">
        <v>79074000</v>
      </c>
      <c r="I48" s="76"/>
      <c r="J48" s="76">
        <v>8838000</v>
      </c>
      <c r="K48" s="76"/>
      <c r="L48" s="76"/>
      <c r="M48" s="26">
        <f t="shared" si="0"/>
        <v>2.4875692585092337</v>
      </c>
      <c r="N48" s="134"/>
      <c r="O48" s="132"/>
      <c r="P48" s="130"/>
      <c r="Q48" s="52"/>
      <c r="R48" s="52"/>
      <c r="S48" s="52"/>
      <c r="T48" s="52"/>
      <c r="U48" s="52"/>
      <c r="V48" s="52"/>
    </row>
    <row r="49" spans="2:22" ht="26.25" customHeight="1">
      <c r="B49" s="28">
        <v>4261</v>
      </c>
      <c r="C49" s="25" t="s">
        <v>61</v>
      </c>
      <c r="D49" s="48">
        <f t="shared" si="1"/>
        <v>15574544.192534199</v>
      </c>
      <c r="E49" s="76"/>
      <c r="F49" s="96">
        <v>33544.192534199843</v>
      </c>
      <c r="G49" s="76"/>
      <c r="H49" s="87">
        <v>15318000</v>
      </c>
      <c r="I49" s="76"/>
      <c r="J49" s="76">
        <v>33000</v>
      </c>
      <c r="K49" s="76">
        <v>190000</v>
      </c>
      <c r="L49" s="76"/>
      <c r="M49" s="26">
        <f t="shared" si="0"/>
        <v>0.20820519631984297</v>
      </c>
      <c r="N49" s="132"/>
      <c r="O49" s="132"/>
      <c r="P49" s="130"/>
      <c r="Q49" s="52"/>
      <c r="R49" s="52"/>
      <c r="S49" s="52"/>
      <c r="T49" s="52"/>
      <c r="U49" s="52"/>
      <c r="V49" s="52"/>
    </row>
    <row r="50" spans="2:22" ht="26.25" customHeight="1">
      <c r="B50" s="28">
        <v>4263</v>
      </c>
      <c r="C50" s="25" t="s">
        <v>62</v>
      </c>
      <c r="D50" s="48">
        <f t="shared" si="1"/>
        <v>312000</v>
      </c>
      <c r="E50" s="76"/>
      <c r="F50" s="76"/>
      <c r="G50" s="76"/>
      <c r="H50" s="107">
        <f>290000+22000</f>
        <v>312000</v>
      </c>
      <c r="I50" s="76"/>
      <c r="J50" s="76"/>
      <c r="K50" s="76"/>
      <c r="L50" s="76"/>
      <c r="M50" s="26">
        <f t="shared" si="0"/>
        <v>4.1709099443777101E-3</v>
      </c>
      <c r="N50" s="134"/>
      <c r="O50" s="132"/>
      <c r="P50" s="130"/>
      <c r="Q50" s="52"/>
      <c r="R50" s="52"/>
      <c r="S50" s="52"/>
      <c r="T50" s="52"/>
      <c r="U50" s="52"/>
      <c r="V50" s="52"/>
    </row>
    <row r="51" spans="2:22" ht="26.25" customHeight="1">
      <c r="B51" s="28">
        <v>4264</v>
      </c>
      <c r="C51" s="25" t="s">
        <v>63</v>
      </c>
      <c r="D51" s="48">
        <f t="shared" si="1"/>
        <v>925000</v>
      </c>
      <c r="E51" s="76"/>
      <c r="F51" s="76"/>
      <c r="G51" s="76"/>
      <c r="H51" s="108">
        <f>619000+106000</f>
        <v>725000</v>
      </c>
      <c r="I51" s="76"/>
      <c r="J51" s="96">
        <f>198000+2000</f>
        <v>200000</v>
      </c>
      <c r="K51" s="76"/>
      <c r="L51" s="76"/>
      <c r="M51" s="26">
        <f t="shared" ref="M51:M73" si="2">D51/$D$73*100</f>
        <v>1.2365678520991609E-2</v>
      </c>
      <c r="N51" s="134"/>
      <c r="O51" s="132"/>
      <c r="P51" s="130"/>
      <c r="Q51" s="52"/>
      <c r="R51" s="52"/>
      <c r="S51" s="52"/>
      <c r="T51" s="52"/>
      <c r="U51" s="52"/>
      <c r="V51" s="52"/>
    </row>
    <row r="52" spans="2:22" ht="26.25" customHeight="1">
      <c r="B52" s="28">
        <v>4265</v>
      </c>
      <c r="C52" s="25" t="s">
        <v>64</v>
      </c>
      <c r="D52" s="48">
        <f t="shared" si="1"/>
        <v>240000</v>
      </c>
      <c r="E52" s="76"/>
      <c r="F52" s="76"/>
      <c r="G52" s="76"/>
      <c r="H52" s="108">
        <f>200000+40000</f>
        <v>240000</v>
      </c>
      <c r="I52" s="76"/>
      <c r="J52" s="76"/>
      <c r="K52" s="76"/>
      <c r="L52" s="76"/>
      <c r="M52" s="26">
        <f t="shared" si="2"/>
        <v>3.208392264905931E-3</v>
      </c>
      <c r="N52" s="132"/>
      <c r="O52" s="132"/>
      <c r="P52" s="130"/>
      <c r="Q52" s="52"/>
      <c r="R52" s="52"/>
      <c r="S52" s="52"/>
      <c r="T52" s="52"/>
      <c r="U52" s="52"/>
      <c r="V52" s="52"/>
    </row>
    <row r="53" spans="2:22" ht="26.25" customHeight="1">
      <c r="B53" s="28">
        <v>4267</v>
      </c>
      <c r="C53" s="25" t="s">
        <v>65</v>
      </c>
      <c r="D53" s="48">
        <f t="shared" si="1"/>
        <v>4913680000</v>
      </c>
      <c r="E53" s="88">
        <v>1305000</v>
      </c>
      <c r="F53" s="76"/>
      <c r="G53" s="76"/>
      <c r="H53" s="109">
        <f>4015046000+22638000+23537000+738977000</f>
        <v>4800198000</v>
      </c>
      <c r="I53" s="76"/>
      <c r="J53" s="76">
        <v>12307000</v>
      </c>
      <c r="K53" s="76"/>
      <c r="L53" s="96">
        <f>54015000+45855000</f>
        <v>99870000</v>
      </c>
      <c r="M53" s="26">
        <f t="shared" si="2"/>
        <v>65.68755376759573</v>
      </c>
      <c r="N53" s="133"/>
      <c r="O53" s="132"/>
      <c r="P53" s="130"/>
      <c r="Q53" s="52"/>
      <c r="R53" s="52"/>
      <c r="S53" s="52"/>
      <c r="T53" s="52"/>
      <c r="U53" s="52"/>
      <c r="V53" s="52"/>
    </row>
    <row r="54" spans="2:22" ht="26.25" customHeight="1">
      <c r="B54" s="28">
        <v>4268</v>
      </c>
      <c r="C54" s="25" t="s">
        <v>66</v>
      </c>
      <c r="D54" s="48">
        <f t="shared" si="1"/>
        <v>79697000</v>
      </c>
      <c r="E54" s="89">
        <v>25000</v>
      </c>
      <c r="F54" s="76"/>
      <c r="G54" s="76"/>
      <c r="H54" s="110">
        <f>66625000+3155000+9092000</f>
        <v>78872000</v>
      </c>
      <c r="I54" s="76"/>
      <c r="J54" s="76">
        <v>800000</v>
      </c>
      <c r="K54" s="76"/>
      <c r="L54" s="76"/>
      <c r="M54" s="26">
        <f t="shared" si="2"/>
        <v>1.0654134930675332</v>
      </c>
      <c r="N54" s="134"/>
      <c r="O54" s="132"/>
      <c r="P54" s="130"/>
      <c r="Q54" s="52"/>
      <c r="R54" s="52"/>
      <c r="S54" s="52"/>
      <c r="T54" s="52"/>
      <c r="U54" s="52"/>
      <c r="V54" s="52"/>
    </row>
    <row r="55" spans="2:22" ht="26.25" customHeight="1">
      <c r="B55" s="28">
        <v>4269</v>
      </c>
      <c r="C55" s="25" t="s">
        <v>67</v>
      </c>
      <c r="D55" s="48">
        <f t="shared" si="1"/>
        <v>12491530.4</v>
      </c>
      <c r="E55" s="76"/>
      <c r="F55" s="76">
        <v>3177530.4</v>
      </c>
      <c r="G55" s="76"/>
      <c r="H55" s="90">
        <v>7746000</v>
      </c>
      <c r="I55" s="96">
        <f>2390000-830000</f>
        <v>1560000</v>
      </c>
      <c r="J55" s="76">
        <v>8000</v>
      </c>
      <c r="K55" s="76"/>
      <c r="L55" s="76"/>
      <c r="M55" s="26">
        <f t="shared" si="2"/>
        <v>0.16699053963415536</v>
      </c>
      <c r="N55" s="134"/>
      <c r="O55" s="132"/>
      <c r="P55" s="130"/>
      <c r="Q55" s="52"/>
      <c r="R55" s="52"/>
      <c r="S55" s="52"/>
      <c r="T55" s="52"/>
      <c r="U55" s="52"/>
      <c r="V55" s="52"/>
    </row>
    <row r="56" spans="2:22" ht="26.25" customHeight="1">
      <c r="B56" s="28">
        <v>4441</v>
      </c>
      <c r="C56" s="29" t="s">
        <v>68</v>
      </c>
      <c r="D56" s="48">
        <f t="shared" si="1"/>
        <v>105000</v>
      </c>
      <c r="E56" s="76"/>
      <c r="F56" s="76"/>
      <c r="G56" s="76"/>
      <c r="H56" s="76"/>
      <c r="I56" s="76"/>
      <c r="J56" s="101">
        <f>80000+25000</f>
        <v>105000</v>
      </c>
      <c r="K56" s="76"/>
      <c r="L56" s="76"/>
      <c r="M56" s="26">
        <f t="shared" si="2"/>
        <v>1.4036716158963448E-3</v>
      </c>
      <c r="N56" s="132"/>
      <c r="O56" s="132"/>
      <c r="P56" s="130"/>
      <c r="Q56" s="52"/>
      <c r="R56" s="52"/>
      <c r="S56" s="52"/>
      <c r="T56" s="52"/>
      <c r="U56" s="52"/>
      <c r="V56" s="52"/>
    </row>
    <row r="57" spans="2:22" ht="26.25" customHeight="1">
      <c r="B57" s="28">
        <v>4442</v>
      </c>
      <c r="C57" s="29" t="s">
        <v>86</v>
      </c>
      <c r="D57" s="48">
        <f t="shared" si="1"/>
        <v>445000</v>
      </c>
      <c r="E57" s="76"/>
      <c r="F57" s="76"/>
      <c r="G57" s="76"/>
      <c r="H57" s="91">
        <v>435000</v>
      </c>
      <c r="I57" s="76"/>
      <c r="J57" s="78">
        <v>10000</v>
      </c>
      <c r="K57" s="76"/>
      <c r="L57" s="76"/>
      <c r="M57" s="26">
        <f t="shared" si="2"/>
        <v>5.9488939911797462E-3</v>
      </c>
      <c r="N57" s="132"/>
      <c r="O57" s="132"/>
      <c r="P57" s="130"/>
      <c r="Q57" s="52"/>
      <c r="R57" s="52"/>
      <c r="S57" s="52"/>
      <c r="T57" s="52"/>
      <c r="U57" s="52"/>
      <c r="V57" s="52"/>
    </row>
    <row r="58" spans="2:22" ht="26.25" customHeight="1">
      <c r="B58" s="28">
        <v>4651</v>
      </c>
      <c r="C58" s="29" t="s">
        <v>83</v>
      </c>
      <c r="D58" s="48">
        <f t="shared" si="1"/>
        <v>8507000</v>
      </c>
      <c r="E58" s="76"/>
      <c r="F58" s="76"/>
      <c r="G58" s="76"/>
      <c r="H58" s="92">
        <v>8507000</v>
      </c>
      <c r="I58" s="76"/>
      <c r="J58" s="76"/>
      <c r="K58" s="76"/>
      <c r="L58" s="76"/>
      <c r="M58" s="26">
        <f t="shared" si="2"/>
        <v>0.11372413748981147</v>
      </c>
      <c r="N58" s="132"/>
      <c r="O58" s="134"/>
    </row>
    <row r="59" spans="2:22" ht="26.25" customHeight="1">
      <c r="B59" s="28">
        <v>4821</v>
      </c>
      <c r="C59" s="30" t="s">
        <v>69</v>
      </c>
      <c r="D59" s="48">
        <f t="shared" si="1"/>
        <v>215000</v>
      </c>
      <c r="E59" s="76"/>
      <c r="F59" s="76"/>
      <c r="G59" s="76"/>
      <c r="H59" s="93">
        <v>150000</v>
      </c>
      <c r="I59" s="76">
        <v>40000</v>
      </c>
      <c r="J59" s="78">
        <v>25000</v>
      </c>
      <c r="K59" s="76"/>
      <c r="L59" s="76"/>
      <c r="M59" s="26">
        <f t="shared" si="2"/>
        <v>2.874184737311563E-3</v>
      </c>
      <c r="N59" s="132"/>
      <c r="O59" s="134"/>
    </row>
    <row r="60" spans="2:22" ht="26.25" customHeight="1">
      <c r="B60" s="28">
        <v>4822</v>
      </c>
      <c r="C60" s="25" t="s">
        <v>70</v>
      </c>
      <c r="D60" s="48">
        <f t="shared" si="1"/>
        <v>255000</v>
      </c>
      <c r="E60" s="76"/>
      <c r="F60" s="76"/>
      <c r="G60" s="76"/>
      <c r="H60" s="93">
        <v>50000</v>
      </c>
      <c r="I60" s="76"/>
      <c r="J60" s="101">
        <f>134000+71000</f>
        <v>205000</v>
      </c>
      <c r="K60" s="76"/>
      <c r="L60" s="76"/>
      <c r="M60" s="26">
        <f t="shared" si="2"/>
        <v>3.4089167814625515E-3</v>
      </c>
      <c r="N60" s="132"/>
      <c r="O60" s="134"/>
    </row>
    <row r="61" spans="2:22" ht="26.25" customHeight="1">
      <c r="B61" s="28">
        <v>4831</v>
      </c>
      <c r="C61" s="25" t="s">
        <v>80</v>
      </c>
      <c r="D61" s="48">
        <f t="shared" si="1"/>
        <v>0</v>
      </c>
      <c r="E61" s="76"/>
      <c r="F61" s="76"/>
      <c r="G61" s="76"/>
      <c r="H61" s="76"/>
      <c r="I61" s="76"/>
      <c r="J61" s="76"/>
      <c r="K61" s="76"/>
      <c r="L61" s="76"/>
      <c r="M61" s="26">
        <f t="shared" si="2"/>
        <v>0</v>
      </c>
      <c r="N61" s="132"/>
      <c r="O61" s="134"/>
    </row>
    <row r="62" spans="2:22" ht="26.25" customHeight="1">
      <c r="B62" s="28">
        <v>4851</v>
      </c>
      <c r="C62" s="25" t="s">
        <v>81</v>
      </c>
      <c r="D62" s="48">
        <f t="shared" si="1"/>
        <v>0</v>
      </c>
      <c r="E62" s="76"/>
      <c r="F62" s="76"/>
      <c r="G62" s="76"/>
      <c r="H62" s="76"/>
      <c r="I62" s="76"/>
      <c r="J62" s="76"/>
      <c r="K62" s="76"/>
      <c r="L62" s="76"/>
      <c r="M62" s="26">
        <f t="shared" si="2"/>
        <v>0</v>
      </c>
      <c r="N62" s="132"/>
      <c r="O62" s="134"/>
    </row>
    <row r="63" spans="2:22" ht="26.25" customHeight="1">
      <c r="B63" s="28">
        <v>5112</v>
      </c>
      <c r="C63" s="25" t="s">
        <v>71</v>
      </c>
      <c r="D63" s="48">
        <f t="shared" si="1"/>
        <v>960000</v>
      </c>
      <c r="E63" s="76"/>
      <c r="F63" s="94">
        <v>960000</v>
      </c>
      <c r="G63" s="76"/>
      <c r="H63" s="76"/>
      <c r="I63" s="76"/>
      <c r="J63" s="76"/>
      <c r="K63" s="76"/>
      <c r="L63" s="76"/>
      <c r="M63" s="26">
        <f t="shared" si="2"/>
        <v>1.2833569059623724E-2</v>
      </c>
      <c r="N63" s="132"/>
      <c r="O63" s="134"/>
    </row>
    <row r="64" spans="2:22" ht="26.25" customHeight="1">
      <c r="B64" s="28">
        <v>5113</v>
      </c>
      <c r="C64" s="25" t="s">
        <v>72</v>
      </c>
      <c r="D64" s="48">
        <f t="shared" si="1"/>
        <v>0</v>
      </c>
      <c r="E64" s="76"/>
      <c r="F64" s="76"/>
      <c r="G64" s="76"/>
      <c r="H64" s="76"/>
      <c r="I64" s="76"/>
      <c r="J64" s="76"/>
      <c r="K64" s="76"/>
      <c r="L64" s="76"/>
      <c r="M64" s="26">
        <f t="shared" si="2"/>
        <v>0</v>
      </c>
      <c r="N64" s="132"/>
      <c r="O64" s="134"/>
    </row>
    <row r="65" spans="2:15" ht="33.75" customHeight="1">
      <c r="B65" s="28">
        <v>5114</v>
      </c>
      <c r="C65" s="25" t="s">
        <v>73</v>
      </c>
      <c r="D65" s="48">
        <f t="shared" si="1"/>
        <v>0</v>
      </c>
      <c r="E65" s="76"/>
      <c r="F65" s="76"/>
      <c r="G65" s="76"/>
      <c r="H65" s="76"/>
      <c r="I65" s="76"/>
      <c r="J65" s="76"/>
      <c r="K65" s="76"/>
      <c r="L65" s="76"/>
      <c r="M65" s="26">
        <f t="shared" si="2"/>
        <v>0</v>
      </c>
      <c r="N65" s="132"/>
      <c r="O65" s="134"/>
    </row>
    <row r="66" spans="2:15" ht="33.75" customHeight="1">
      <c r="B66" s="28">
        <v>5121</v>
      </c>
      <c r="C66" s="25" t="s">
        <v>88</v>
      </c>
      <c r="D66" s="48">
        <f t="shared" si="1"/>
        <v>1200000</v>
      </c>
      <c r="E66" s="76"/>
      <c r="F66" s="76"/>
      <c r="G66" s="76"/>
      <c r="H66" s="76"/>
      <c r="I66" s="76"/>
      <c r="J66" s="76">
        <v>1200000</v>
      </c>
      <c r="K66" s="76"/>
      <c r="L66" s="76"/>
      <c r="M66" s="26">
        <f t="shared" si="2"/>
        <v>1.6041961324529657E-2</v>
      </c>
      <c r="N66" s="132"/>
      <c r="O66" s="134"/>
    </row>
    <row r="67" spans="2:15" ht="26.25" customHeight="1">
      <c r="B67" s="28">
        <v>5122</v>
      </c>
      <c r="C67" s="25" t="s">
        <v>82</v>
      </c>
      <c r="D67" s="48">
        <f t="shared" si="1"/>
        <v>26049602.752540305</v>
      </c>
      <c r="E67" s="76"/>
      <c r="F67" s="96">
        <v>2491602.7525403034</v>
      </c>
      <c r="G67" s="76"/>
      <c r="H67" s="76"/>
      <c r="I67" s="76"/>
      <c r="J67" s="76">
        <v>9484000</v>
      </c>
      <c r="K67" s="76">
        <v>14074000</v>
      </c>
      <c r="L67" s="76"/>
      <c r="M67" s="26">
        <f t="shared" si="2"/>
        <v>0.34823893322967731</v>
      </c>
      <c r="N67" s="132"/>
      <c r="O67" s="134"/>
    </row>
    <row r="68" spans="2:15" ht="26.25" customHeight="1">
      <c r="B68" s="28">
        <v>5123</v>
      </c>
      <c r="C68" s="25" t="s">
        <v>84</v>
      </c>
      <c r="D68" s="48">
        <f t="shared" si="1"/>
        <v>0</v>
      </c>
      <c r="E68" s="76"/>
      <c r="F68" s="76"/>
      <c r="G68" s="76"/>
      <c r="H68" s="76"/>
      <c r="I68" s="76"/>
      <c r="J68" s="76"/>
      <c r="K68" s="76"/>
      <c r="L68" s="76"/>
      <c r="M68" s="26">
        <f t="shared" si="2"/>
        <v>0</v>
      </c>
      <c r="N68" s="132"/>
      <c r="O68" s="134"/>
    </row>
    <row r="69" spans="2:15" ht="26.25" customHeight="1">
      <c r="B69" s="28">
        <v>5124</v>
      </c>
      <c r="C69" s="25" t="s">
        <v>90</v>
      </c>
      <c r="D69" s="48">
        <f t="shared" si="1"/>
        <v>0</v>
      </c>
      <c r="E69" s="76"/>
      <c r="F69" s="76"/>
      <c r="G69" s="76"/>
      <c r="H69" s="76"/>
      <c r="I69" s="76"/>
      <c r="J69" s="76"/>
      <c r="K69" s="76"/>
      <c r="L69" s="76"/>
      <c r="M69" s="26"/>
      <c r="N69" s="132"/>
      <c r="O69" s="134"/>
    </row>
    <row r="70" spans="2:15" ht="26.25" customHeight="1">
      <c r="B70" s="28">
        <v>5125</v>
      </c>
      <c r="C70" s="25" t="s">
        <v>74</v>
      </c>
      <c r="D70" s="48">
        <f t="shared" si="1"/>
        <v>165553081.25</v>
      </c>
      <c r="E70" s="76">
        <v>1400000</v>
      </c>
      <c r="F70" s="97">
        <f>122306000+16047720+748361.25</f>
        <v>139102081.25</v>
      </c>
      <c r="G70" s="76"/>
      <c r="H70" s="95">
        <v>624000</v>
      </c>
      <c r="I70" s="76">
        <f>1939000</f>
        <v>1939000</v>
      </c>
      <c r="J70" s="76">
        <f>19461000-1200000</f>
        <v>18261000</v>
      </c>
      <c r="K70" s="76">
        <v>4227000</v>
      </c>
      <c r="L70" s="76"/>
      <c r="M70" s="26">
        <f t="shared" si="2"/>
        <v>2.2131634388076797</v>
      </c>
      <c r="N70" s="134"/>
      <c r="O70" s="134"/>
    </row>
    <row r="71" spans="2:15" ht="26.25" customHeight="1">
      <c r="B71" s="28">
        <v>5129</v>
      </c>
      <c r="C71" s="25" t="s">
        <v>76</v>
      </c>
      <c r="D71" s="48">
        <f t="shared" si="1"/>
        <v>0</v>
      </c>
      <c r="E71" s="76"/>
      <c r="F71" s="76"/>
      <c r="G71" s="76"/>
      <c r="H71" s="76"/>
      <c r="I71" s="76"/>
      <c r="J71" s="76"/>
      <c r="K71" s="76"/>
      <c r="L71" s="76"/>
      <c r="M71" s="26">
        <f t="shared" si="2"/>
        <v>0</v>
      </c>
      <c r="N71" s="132"/>
      <c r="O71" s="134"/>
    </row>
    <row r="72" spans="2:15" ht="26.25" customHeight="1">
      <c r="B72" s="28">
        <v>5151</v>
      </c>
      <c r="C72" s="25" t="s">
        <v>75</v>
      </c>
      <c r="D72" s="48">
        <f t="shared" si="1"/>
        <v>0</v>
      </c>
      <c r="E72" s="76"/>
      <c r="F72" s="76"/>
      <c r="G72" s="76"/>
      <c r="H72" s="76"/>
      <c r="I72" s="76"/>
      <c r="J72" s="76"/>
      <c r="K72" s="76"/>
      <c r="L72" s="76"/>
      <c r="M72" s="26">
        <f t="shared" si="2"/>
        <v>0</v>
      </c>
      <c r="N72" s="132"/>
      <c r="O72" s="134"/>
    </row>
    <row r="73" spans="2:15" ht="22.5" customHeight="1">
      <c r="B73" s="34" t="s">
        <v>26</v>
      </c>
      <c r="C73" s="34"/>
      <c r="D73" s="35">
        <f>SUM(D18:D72)</f>
        <v>7480382078.7492371</v>
      </c>
      <c r="E73" s="35">
        <f>SUM(E18:E72)</f>
        <v>4091000</v>
      </c>
      <c r="F73" s="35">
        <f t="shared" ref="F73:L73" si="3">SUM(F18:F72)</f>
        <v>245563078.749237</v>
      </c>
      <c r="G73" s="35">
        <f t="shared" si="3"/>
        <v>118000</v>
      </c>
      <c r="H73" s="35">
        <f t="shared" si="3"/>
        <v>6995818000</v>
      </c>
      <c r="I73" s="35">
        <f t="shared" si="3"/>
        <v>7291000</v>
      </c>
      <c r="J73" s="35">
        <f t="shared" si="3"/>
        <v>99930000</v>
      </c>
      <c r="K73" s="54">
        <f t="shared" si="3"/>
        <v>27701000</v>
      </c>
      <c r="L73" s="54">
        <f t="shared" si="3"/>
        <v>99870000</v>
      </c>
      <c r="M73" s="35">
        <f t="shared" si="2"/>
        <v>100</v>
      </c>
      <c r="N73" s="135"/>
      <c r="O73" s="135"/>
    </row>
    <row r="74" spans="2:15" ht="0.75" customHeight="1">
      <c r="B74" s="19" t="s">
        <v>27</v>
      </c>
      <c r="C74" s="31"/>
      <c r="D74" s="17">
        <f>SUM(E74:L74)</f>
        <v>99.629684691124339</v>
      </c>
      <c r="E74" s="32">
        <f t="shared" ref="E74:L74" si="4">E73/$D$73*100</f>
        <v>5.4689719815542347E-2</v>
      </c>
      <c r="F74" s="32">
        <f t="shared" si="4"/>
        <v>3.2827611766897413</v>
      </c>
      <c r="G74" s="32">
        <f t="shared" si="4"/>
        <v>1.577459530245416E-3</v>
      </c>
      <c r="H74" s="32">
        <f t="shared" si="4"/>
        <v>93.522201491206999</v>
      </c>
      <c r="I74" s="32">
        <f t="shared" si="4"/>
        <v>9.7468283347621421E-2</v>
      </c>
      <c r="J74" s="32">
        <f t="shared" si="4"/>
        <v>1.335894329300207</v>
      </c>
      <c r="K74" s="32"/>
      <c r="L74" s="32">
        <f t="shared" si="4"/>
        <v>1.3350922312339804</v>
      </c>
      <c r="M74" s="31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4"/>
    </row>
    <row r="155" spans="2:16" s="6" customFormat="1" ht="14.25">
      <c r="B155" s="21"/>
      <c r="C155" s="21"/>
      <c r="D155" s="21"/>
      <c r="E155" s="21"/>
      <c r="F155" s="21"/>
      <c r="G155" s="21"/>
      <c r="M155" s="21"/>
      <c r="N155" s="136"/>
      <c r="O155" s="136"/>
      <c r="P155" s="136"/>
    </row>
    <row r="156" spans="2:16" ht="14.25">
      <c r="B156" s="6"/>
      <c r="C156" s="6"/>
      <c r="D156" s="6"/>
      <c r="E156" s="6"/>
      <c r="F156" s="6"/>
      <c r="G156" s="6"/>
      <c r="H156" s="142" t="s">
        <v>28</v>
      </c>
      <c r="I156" s="142"/>
      <c r="J156" s="142"/>
      <c r="K156" s="142"/>
      <c r="L156" s="142"/>
      <c r="M156" s="6"/>
    </row>
    <row r="157" spans="2:16">
      <c r="H157" s="33"/>
      <c r="I157" s="33"/>
      <c r="J157" s="33"/>
      <c r="K157" s="33"/>
      <c r="L157" s="33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D122"/>
  <sheetViews>
    <sheetView tabSelected="1" workbookViewId="0">
      <selection activeCell="C82" sqref="C82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1" bestFit="1" customWidth="1"/>
    <col min="4" max="4" width="13.42578125" style="51" customWidth="1"/>
    <col min="5" max="5" width="13.85546875" bestFit="1" customWidth="1"/>
    <col min="9" max="9" width="11.7109375" bestFit="1" customWidth="1"/>
  </cols>
  <sheetData>
    <row r="2" spans="1:4" ht="40.5" customHeight="1">
      <c r="A2" s="175" t="s">
        <v>108</v>
      </c>
      <c r="B2" s="175"/>
      <c r="C2" s="175"/>
      <c r="D2" s="175"/>
    </row>
    <row r="3" spans="1:4">
      <c r="A3" s="62"/>
      <c r="B3" s="62"/>
      <c r="C3" s="63"/>
      <c r="D3" s="63"/>
    </row>
    <row r="4" spans="1:4" ht="15.75">
      <c r="A4" s="68"/>
      <c r="B4" s="176" t="s">
        <v>99</v>
      </c>
      <c r="C4" s="177" t="s">
        <v>100</v>
      </c>
      <c r="D4" s="177"/>
    </row>
    <row r="5" spans="1:4" ht="15.75">
      <c r="A5" s="58" t="s">
        <v>110</v>
      </c>
      <c r="B5" s="176"/>
      <c r="C5" s="59" t="s">
        <v>101</v>
      </c>
      <c r="D5" s="59" t="s">
        <v>102</v>
      </c>
    </row>
    <row r="6" spans="1:4">
      <c r="A6" s="64" t="str">
        <f>ПРИХОДИ!C18</f>
        <v xml:space="preserve">Текући трансфери од других нивоа власти у корист РФЗО </v>
      </c>
      <c r="B6" s="65">
        <f>ПРИХОДИ!B18</f>
        <v>7331</v>
      </c>
      <c r="C6" s="51">
        <v>4904143.3399999989</v>
      </c>
      <c r="D6" s="66"/>
    </row>
    <row r="7" spans="1:4">
      <c r="A7" s="178" t="s">
        <v>106</v>
      </c>
      <c r="B7" s="178"/>
      <c r="C7" s="60">
        <f>SUM(C6)</f>
        <v>4904143.3399999989</v>
      </c>
      <c r="D7" s="60">
        <f>SUM(D6)</f>
        <v>0</v>
      </c>
    </row>
    <row r="8" spans="1:4">
      <c r="A8" s="67" t="s">
        <v>32</v>
      </c>
      <c r="B8" s="65">
        <v>4111</v>
      </c>
      <c r="C8" s="66">
        <v>194205.77527398957</v>
      </c>
    </row>
    <row r="9" spans="1:4">
      <c r="A9" s="67" t="s">
        <v>33</v>
      </c>
      <c r="B9" s="65">
        <v>4121</v>
      </c>
      <c r="C9" s="66">
        <v>19420.577527398957</v>
      </c>
    </row>
    <row r="10" spans="1:4">
      <c r="A10" s="67" t="s">
        <v>34</v>
      </c>
      <c r="B10" s="65">
        <v>4122</v>
      </c>
      <c r="C10" s="66">
        <v>10001.597426610462</v>
      </c>
    </row>
    <row r="11" spans="1:4">
      <c r="A11" s="67" t="s">
        <v>47</v>
      </c>
      <c r="B11" s="65">
        <v>4222</v>
      </c>
      <c r="C11" s="66">
        <v>33544.192534199843</v>
      </c>
    </row>
    <row r="12" spans="1:4">
      <c r="A12" s="67" t="s">
        <v>51</v>
      </c>
      <c r="B12" s="65">
        <v>4234</v>
      </c>
      <c r="C12" s="66">
        <v>176085.00017952675</v>
      </c>
    </row>
    <row r="13" spans="1:4">
      <c r="A13" s="67" t="s">
        <v>52</v>
      </c>
      <c r="B13" s="65">
        <v>4235</v>
      </c>
      <c r="C13" s="66">
        <v>1197378.0012207818</v>
      </c>
    </row>
    <row r="14" spans="1:4">
      <c r="A14" s="67" t="s">
        <v>61</v>
      </c>
      <c r="B14" s="65">
        <v>4261</v>
      </c>
      <c r="C14" s="66">
        <v>33544.192534199843</v>
      </c>
    </row>
    <row r="15" spans="1:4">
      <c r="A15" s="67" t="s">
        <v>82</v>
      </c>
      <c r="B15" s="65">
        <v>5122</v>
      </c>
      <c r="C15" s="66">
        <v>2491602.7525403034</v>
      </c>
    </row>
    <row r="16" spans="1:4">
      <c r="A16" s="67" t="s">
        <v>74</v>
      </c>
      <c r="B16" s="65">
        <v>5125</v>
      </c>
      <c r="C16" s="66">
        <v>748361.25</v>
      </c>
    </row>
    <row r="17" spans="1:4">
      <c r="A17" s="69" t="s">
        <v>103</v>
      </c>
      <c r="B17" s="61"/>
      <c r="C17" s="60">
        <f>SUM(C8:C16)</f>
        <v>4904143.339237011</v>
      </c>
      <c r="D17" s="60">
        <f>SUM(D8)</f>
        <v>0</v>
      </c>
    </row>
    <row r="20" spans="1:4" ht="47.25" customHeight="1">
      <c r="A20" s="179" t="s">
        <v>109</v>
      </c>
      <c r="B20" s="179"/>
      <c r="C20" s="179"/>
      <c r="D20" s="179"/>
    </row>
    <row r="21" spans="1:4">
      <c r="A21" s="114"/>
      <c r="B21" s="114"/>
      <c r="C21" s="115"/>
      <c r="D21" s="115"/>
    </row>
    <row r="22" spans="1:4" ht="15.75">
      <c r="A22" s="116"/>
      <c r="B22" s="172" t="s">
        <v>99</v>
      </c>
      <c r="C22" s="173" t="s">
        <v>100</v>
      </c>
      <c r="D22" s="173"/>
    </row>
    <row r="23" spans="1:4" ht="15.75">
      <c r="A23" s="117" t="s">
        <v>105</v>
      </c>
      <c r="B23" s="172"/>
      <c r="C23" s="118" t="s">
        <v>101</v>
      </c>
      <c r="D23" s="118" t="s">
        <v>102</v>
      </c>
    </row>
    <row r="24" spans="1:4">
      <c r="A24" s="119" t="str">
        <f>ПРИХОДИ!C27</f>
        <v>Трансфери између буџетских корисника на истом нивоу</v>
      </c>
      <c r="B24" s="120">
        <f>ПРИХОДИ!B27</f>
        <v>7811</v>
      </c>
      <c r="C24" s="121">
        <v>75512000</v>
      </c>
      <c r="D24" s="121"/>
    </row>
    <row r="25" spans="1:4">
      <c r="A25" s="174" t="s">
        <v>106</v>
      </c>
      <c r="B25" s="174"/>
      <c r="C25" s="122">
        <f>SUM(C24)</f>
        <v>75512000</v>
      </c>
      <c r="D25" s="122">
        <f>SUM(D24)</f>
        <v>0</v>
      </c>
    </row>
    <row r="26" spans="1:4">
      <c r="A26" s="123" t="s">
        <v>32</v>
      </c>
      <c r="B26" s="120">
        <v>4111</v>
      </c>
      <c r="C26" s="121">
        <v>63174000</v>
      </c>
      <c r="D26" s="121"/>
    </row>
    <row r="27" spans="1:4">
      <c r="A27" s="123" t="s">
        <v>33</v>
      </c>
      <c r="B27" s="120">
        <v>4121</v>
      </c>
      <c r="C27" s="121">
        <v>6318000</v>
      </c>
      <c r="D27" s="121"/>
    </row>
    <row r="28" spans="1:4">
      <c r="A28" s="123" t="s">
        <v>34</v>
      </c>
      <c r="B28" s="120">
        <v>4122</v>
      </c>
      <c r="C28" s="121">
        <v>3253000</v>
      </c>
      <c r="D28" s="121"/>
    </row>
    <row r="29" spans="1:4">
      <c r="A29" s="123" t="str">
        <f>РАСХОДИ!C26</f>
        <v>Накнаде трошкова за запослене</v>
      </c>
      <c r="B29" s="120">
        <f>РАСХОДИ!B26</f>
        <v>4151</v>
      </c>
      <c r="C29" s="121">
        <v>1683000</v>
      </c>
      <c r="D29" s="121"/>
    </row>
    <row r="30" spans="1:4">
      <c r="A30" s="123" t="str">
        <f>РАСХОДИ!C28</f>
        <v>Трошкови платног промета и банкарских услуга</v>
      </c>
      <c r="B30" s="120">
        <f>РАСХОДИ!B28</f>
        <v>4211</v>
      </c>
      <c r="C30" s="124">
        <v>300000</v>
      </c>
      <c r="D30" s="121"/>
    </row>
    <row r="31" spans="1:4">
      <c r="A31" s="123" t="str">
        <f>РАСХОДИ!C31</f>
        <v>Услуге комуникација</v>
      </c>
      <c r="B31" s="120">
        <f>РАСХОДИ!B31</f>
        <v>4214</v>
      </c>
      <c r="C31" s="121">
        <v>461000</v>
      </c>
      <c r="D31" s="121"/>
    </row>
    <row r="32" spans="1:4">
      <c r="A32" s="123" t="str">
        <f>РАСХОДИ!C50</f>
        <v>Материјали за образовање и усавршавање запослених</v>
      </c>
      <c r="B32" s="120">
        <f>РАСХОДИ!B50</f>
        <v>4263</v>
      </c>
      <c r="C32" s="121">
        <v>22000</v>
      </c>
      <c r="D32" s="121"/>
    </row>
    <row r="33" spans="1:4">
      <c r="A33" s="123" t="str">
        <f>РАСХОДИ!C52</f>
        <v>Материјали за очување животне средине и науку</v>
      </c>
      <c r="B33" s="120">
        <f>РАСХОДИ!B52</f>
        <v>4265</v>
      </c>
      <c r="C33" s="121">
        <v>40000</v>
      </c>
      <c r="D33" s="121"/>
    </row>
    <row r="34" spans="1:4">
      <c r="A34" s="123" t="str">
        <f>РАСХОДИ!C44</f>
        <v>Медицинске услуге</v>
      </c>
      <c r="B34" s="120">
        <f>РАСХОДИ!B44</f>
        <v>4243</v>
      </c>
      <c r="C34" s="121">
        <v>261000</v>
      </c>
      <c r="D34" s="121"/>
    </row>
    <row r="35" spans="1:4">
      <c r="A35" s="125" t="s">
        <v>103</v>
      </c>
      <c r="B35" s="126"/>
      <c r="C35" s="122">
        <f>SUM(C26:C34)</f>
        <v>75512000</v>
      </c>
      <c r="D35" s="122">
        <f>SUM(D26)</f>
        <v>0</v>
      </c>
    </row>
    <row r="36" spans="1:4">
      <c r="A36" s="127"/>
      <c r="B36" s="127"/>
      <c r="C36" s="121"/>
      <c r="D36" s="121"/>
    </row>
    <row r="37" spans="1:4">
      <c r="A37" s="127"/>
      <c r="B37" s="127"/>
      <c r="C37" s="121"/>
      <c r="D37" s="121"/>
    </row>
    <row r="38" spans="1:4" ht="15.75">
      <c r="A38" s="179" t="s">
        <v>109</v>
      </c>
      <c r="B38" s="179"/>
      <c r="C38" s="179"/>
      <c r="D38" s="179"/>
    </row>
    <row r="39" spans="1:4">
      <c r="A39" s="114"/>
      <c r="B39" s="114"/>
      <c r="C39" s="115"/>
      <c r="D39" s="115"/>
    </row>
    <row r="40" spans="1:4" ht="15.75">
      <c r="A40" s="116"/>
      <c r="B40" s="172" t="s">
        <v>99</v>
      </c>
      <c r="C40" s="173" t="s">
        <v>100</v>
      </c>
      <c r="D40" s="173"/>
    </row>
    <row r="41" spans="1:4" ht="15.75">
      <c r="A41" s="117" t="s">
        <v>105</v>
      </c>
      <c r="B41" s="172"/>
      <c r="C41" s="118" t="s">
        <v>101</v>
      </c>
      <c r="D41" s="118" t="s">
        <v>102</v>
      </c>
    </row>
    <row r="42" spans="1:4">
      <c r="A42" s="119" t="str">
        <f>РАСХОДИ!C30</f>
        <v>Комуналне услуге</v>
      </c>
      <c r="B42" s="120">
        <f>РАСХОДИ!B30</f>
        <v>4213</v>
      </c>
      <c r="C42" s="121"/>
      <c r="D42" s="121">
        <v>7770000</v>
      </c>
    </row>
    <row r="43" spans="1:4">
      <c r="A43" s="174" t="s">
        <v>113</v>
      </c>
      <c r="B43" s="174"/>
      <c r="C43" s="122">
        <f>SUM(C42)</f>
        <v>0</v>
      </c>
      <c r="D43" s="122">
        <f>SUM(D42)</f>
        <v>7770000</v>
      </c>
    </row>
    <row r="44" spans="1:4">
      <c r="A44" s="123" t="str">
        <f>РАСХОДИ!C46</f>
        <v>Остале специјализоване услуге</v>
      </c>
      <c r="B44" s="120">
        <f>РАСХОДИ!B46</f>
        <v>4249</v>
      </c>
      <c r="C44" s="121">
        <v>235000</v>
      </c>
      <c r="D44" s="121"/>
    </row>
    <row r="45" spans="1:4">
      <c r="A45" s="123" t="s">
        <v>56</v>
      </c>
      <c r="B45" s="127">
        <v>4243</v>
      </c>
      <c r="C45" s="121">
        <v>2107000</v>
      </c>
      <c r="D45" s="121"/>
    </row>
    <row r="46" spans="1:4">
      <c r="A46" s="123" t="str">
        <f>РАСХОДИ!C53</f>
        <v>Медицински и лабораторијски материјали</v>
      </c>
      <c r="B46" s="120">
        <f>РАСХОДИ!B53</f>
        <v>4267</v>
      </c>
      <c r="C46" s="121">
        <v>5428000</v>
      </c>
      <c r="D46" s="121"/>
    </row>
    <row r="47" spans="1:4">
      <c r="A47" s="125" t="s">
        <v>103</v>
      </c>
      <c r="B47" s="126"/>
      <c r="C47" s="122">
        <f>SUM(C44:C46)</f>
        <v>7770000</v>
      </c>
      <c r="D47" s="122"/>
    </row>
    <row r="48" spans="1:4">
      <c r="A48" s="127"/>
      <c r="B48" s="127"/>
      <c r="C48" s="121"/>
      <c r="D48" s="121"/>
    </row>
    <row r="49" spans="1:4">
      <c r="A49" s="127"/>
      <c r="B49" s="127"/>
      <c r="C49" s="121"/>
      <c r="D49" s="121"/>
    </row>
    <row r="50" spans="1:4" ht="15.75">
      <c r="A50" s="179" t="s">
        <v>111</v>
      </c>
      <c r="B50" s="179"/>
      <c r="C50" s="179"/>
      <c r="D50" s="179"/>
    </row>
    <row r="51" spans="1:4">
      <c r="A51" s="114"/>
      <c r="B51" s="114"/>
      <c r="C51" s="115"/>
      <c r="D51" s="115"/>
    </row>
    <row r="52" spans="1:4" ht="15.75">
      <c r="A52" s="116"/>
      <c r="B52" s="172" t="s">
        <v>99</v>
      </c>
      <c r="C52" s="173" t="s">
        <v>100</v>
      </c>
      <c r="D52" s="173"/>
    </row>
    <row r="53" spans="1:4" ht="15.75">
      <c r="A53" s="117" t="s">
        <v>105</v>
      </c>
      <c r="B53" s="172"/>
      <c r="C53" s="118" t="s">
        <v>101</v>
      </c>
      <c r="D53" s="118" t="s">
        <v>102</v>
      </c>
    </row>
    <row r="54" spans="1:4">
      <c r="A54" s="119" t="str">
        <f>ПРИХОДИ!C27</f>
        <v>Трансфери између буџетских корисника на истом нивоу</v>
      </c>
      <c r="B54" s="120">
        <f>ПРИХОДИ!B27</f>
        <v>7811</v>
      </c>
      <c r="C54" s="121">
        <v>924186000</v>
      </c>
      <c r="D54" s="121"/>
    </row>
    <row r="55" spans="1:4">
      <c r="A55" s="174" t="s">
        <v>106</v>
      </c>
      <c r="B55" s="174"/>
      <c r="C55" s="122">
        <f>SUM(C54)</f>
        <v>924186000</v>
      </c>
      <c r="D55" s="122">
        <f>SUM(D54)</f>
        <v>0</v>
      </c>
    </row>
    <row r="56" spans="1:4">
      <c r="A56" s="123" t="s">
        <v>65</v>
      </c>
      <c r="B56" s="120">
        <v>4267</v>
      </c>
      <c r="C56" s="121">
        <v>733549000</v>
      </c>
      <c r="D56" s="121"/>
    </row>
    <row r="57" spans="1:4">
      <c r="A57" s="123" t="str">
        <f>РАСХОДИ!C54</f>
        <v>Материјали за одржавање хигијене и угоститељство</v>
      </c>
      <c r="B57" s="120">
        <f>РАСХОДИ!B54</f>
        <v>4268</v>
      </c>
      <c r="C57" s="121">
        <v>9092000</v>
      </c>
      <c r="D57" s="121"/>
    </row>
    <row r="58" spans="1:4">
      <c r="A58" s="123" t="str">
        <f>РАСХОДИ!C51</f>
        <v>Материјали за саобраћај</v>
      </c>
      <c r="B58" s="120">
        <f>РАСХОДИ!B51</f>
        <v>4264</v>
      </c>
      <c r="C58" s="121">
        <v>106000</v>
      </c>
      <c r="D58" s="121"/>
    </row>
    <row r="59" spans="1:4">
      <c r="A59" s="123" t="str">
        <f>РАСХОДИ!C29</f>
        <v>Енергетске услуге</v>
      </c>
      <c r="B59" s="120">
        <f>РАСХОДИ!B29</f>
        <v>4212</v>
      </c>
      <c r="C59" s="121">
        <v>12766000</v>
      </c>
      <c r="D59" s="121"/>
    </row>
    <row r="60" spans="1:4">
      <c r="A60" s="123" t="str">
        <f>РАСХОДИ!C24</f>
        <v>Отпремнине и помоћи</v>
      </c>
      <c r="B60" s="120">
        <f>РАСХОДИ!B24</f>
        <v>4143</v>
      </c>
      <c r="C60" s="121">
        <v>2812000</v>
      </c>
      <c r="D60" s="121"/>
    </row>
    <row r="61" spans="1:4">
      <c r="A61" s="123" t="str">
        <f>РАСХОДИ!C18</f>
        <v>Плате, додаци и накнаде запослених</v>
      </c>
      <c r="B61" s="120">
        <f>РАСХОДИ!B18</f>
        <v>4111</v>
      </c>
      <c r="C61" s="121">
        <v>136732000</v>
      </c>
      <c r="D61" s="121"/>
    </row>
    <row r="62" spans="1:4">
      <c r="A62" s="123" t="str">
        <f>РАСХОДИ!C19</f>
        <v>Допринос за пензијско и инвалидско осигурање</v>
      </c>
      <c r="B62" s="120">
        <f>РАСХОДИ!B19</f>
        <v>4121</v>
      </c>
      <c r="C62" s="121">
        <v>21901700</v>
      </c>
      <c r="D62" s="121"/>
    </row>
    <row r="63" spans="1:4">
      <c r="A63" s="123" t="str">
        <f>РАСХОДИ!C20</f>
        <v>Допринос за здравствено осигурање</v>
      </c>
      <c r="B63" s="120">
        <f>РАСХОДИ!B20</f>
        <v>4122</v>
      </c>
      <c r="C63" s="121">
        <v>7227300</v>
      </c>
      <c r="D63" s="121"/>
    </row>
    <row r="64" spans="1:4">
      <c r="A64" s="72" t="s">
        <v>103</v>
      </c>
      <c r="B64" s="61"/>
      <c r="C64" s="60">
        <f>SUM(C56:C63)</f>
        <v>924186000</v>
      </c>
      <c r="D64" s="60"/>
    </row>
    <row r="67" spans="1:4" ht="15.75">
      <c r="A67" s="179" t="s">
        <v>111</v>
      </c>
      <c r="B67" s="179"/>
      <c r="C67" s="179"/>
      <c r="D67" s="179"/>
    </row>
    <row r="68" spans="1:4">
      <c r="A68" s="114"/>
      <c r="B68" s="114"/>
      <c r="C68" s="115"/>
      <c r="D68" s="115"/>
    </row>
    <row r="69" spans="1:4" ht="15.75">
      <c r="A69" s="116"/>
      <c r="B69" s="172" t="s">
        <v>99</v>
      </c>
      <c r="C69" s="173" t="s">
        <v>100</v>
      </c>
      <c r="D69" s="173"/>
    </row>
    <row r="70" spans="1:4" ht="15.75">
      <c r="A70" s="117" t="s">
        <v>115</v>
      </c>
      <c r="B70" s="172"/>
      <c r="C70" s="118" t="s">
        <v>101</v>
      </c>
      <c r="D70" s="118" t="s">
        <v>102</v>
      </c>
    </row>
    <row r="71" spans="1:4">
      <c r="A71" s="119" t="s">
        <v>25</v>
      </c>
      <c r="B71" s="120">
        <v>7811</v>
      </c>
      <c r="C71" s="121">
        <v>45855000</v>
      </c>
      <c r="D71" s="121"/>
    </row>
    <row r="72" spans="1:4">
      <c r="A72" s="174" t="s">
        <v>106</v>
      </c>
      <c r="B72" s="174"/>
      <c r="C72" s="122">
        <f>SUM(C71)</f>
        <v>45855000</v>
      </c>
      <c r="D72" s="122">
        <f>SUM(D71)</f>
        <v>0</v>
      </c>
    </row>
    <row r="73" spans="1:4">
      <c r="A73" s="123" t="s">
        <v>65</v>
      </c>
      <c r="B73" s="127">
        <v>4267</v>
      </c>
      <c r="C73" s="121">
        <v>45855000</v>
      </c>
      <c r="D73" s="121"/>
    </row>
    <row r="74" spans="1:4">
      <c r="A74" s="72" t="s">
        <v>103</v>
      </c>
      <c r="B74" s="61"/>
      <c r="C74" s="60">
        <f>SUM(C73)</f>
        <v>45855000</v>
      </c>
      <c r="D74" s="60"/>
    </row>
    <row r="75" spans="1:4">
      <c r="A75" s="114"/>
      <c r="B75" s="114"/>
      <c r="C75" s="115"/>
      <c r="D75" s="115"/>
    </row>
    <row r="76" spans="1:4" ht="15.75">
      <c r="A76" s="116"/>
      <c r="B76" s="172" t="s">
        <v>99</v>
      </c>
      <c r="C76" s="173" t="s">
        <v>100</v>
      </c>
      <c r="D76" s="173"/>
    </row>
    <row r="77" spans="1:4" ht="15.75">
      <c r="A77" s="117" t="s">
        <v>14</v>
      </c>
      <c r="B77" s="172"/>
      <c r="C77" s="118" t="s">
        <v>101</v>
      </c>
      <c r="D77" s="118" t="s">
        <v>102</v>
      </c>
    </row>
    <row r="78" spans="1:4">
      <c r="A78" s="119" t="str">
        <f>ПРИХОДИ!C24</f>
        <v>Текући добровољни трансфери од физичких и правних лица</v>
      </c>
      <c r="B78" s="120">
        <f>ПРИХОДИ!B24</f>
        <v>7441</v>
      </c>
      <c r="C78" s="121">
        <v>1410000</v>
      </c>
      <c r="D78" s="121"/>
    </row>
    <row r="79" spans="1:4">
      <c r="A79" s="174" t="s">
        <v>106</v>
      </c>
      <c r="B79" s="174"/>
      <c r="C79" s="122">
        <f>SUM(C78)</f>
        <v>1410000</v>
      </c>
      <c r="D79" s="122">
        <f>SUM(D78)</f>
        <v>0</v>
      </c>
    </row>
    <row r="80" spans="1:4">
      <c r="A80" s="123" t="str">
        <f>РАСХОДИ!C39</f>
        <v>Услуге информисања</v>
      </c>
      <c r="B80" s="120">
        <f>РАСХОДИ!B39</f>
        <v>4234</v>
      </c>
      <c r="C80" s="121">
        <v>600000</v>
      </c>
      <c r="D80" s="121"/>
    </row>
    <row r="81" spans="1:4">
      <c r="A81" s="123" t="str">
        <f>РАСХОДИ!C42</f>
        <v>Репрезентација</v>
      </c>
      <c r="B81" s="120">
        <f>РАСХОДИ!B42</f>
        <v>4237</v>
      </c>
      <c r="C81" s="121">
        <v>730000</v>
      </c>
      <c r="D81" s="121"/>
    </row>
    <row r="82" spans="1:4">
      <c r="A82" s="123" t="str">
        <f>РАСХОДИ!C46</f>
        <v>Остале специјализоване услуге</v>
      </c>
      <c r="B82" s="120">
        <f>РАСХОДИ!B46</f>
        <v>4249</v>
      </c>
      <c r="C82" s="121">
        <f>1410000-1330000</f>
        <v>80000</v>
      </c>
      <c r="D82" s="121"/>
    </row>
    <row r="83" spans="1:4">
      <c r="A83" s="72" t="s">
        <v>103</v>
      </c>
      <c r="B83" s="61"/>
      <c r="C83" s="60">
        <f>SUM(C80:C82)</f>
        <v>1410000</v>
      </c>
      <c r="D83" s="60"/>
    </row>
    <row r="86" spans="1:4" ht="15.75">
      <c r="A86" s="179" t="s">
        <v>112</v>
      </c>
      <c r="B86" s="179"/>
      <c r="C86" s="179"/>
      <c r="D86" s="179"/>
    </row>
    <row r="87" spans="1:4">
      <c r="A87" s="114"/>
      <c r="B87" s="114"/>
      <c r="C87" s="115"/>
      <c r="D87" s="115"/>
    </row>
    <row r="88" spans="1:4" ht="15.75">
      <c r="A88" s="116"/>
      <c r="B88" s="172" t="s">
        <v>99</v>
      </c>
      <c r="C88" s="173" t="s">
        <v>100</v>
      </c>
      <c r="D88" s="173"/>
    </row>
    <row r="89" spans="1:4" ht="15.75">
      <c r="A89" s="117" t="s">
        <v>14</v>
      </c>
      <c r="B89" s="172"/>
      <c r="C89" s="118" t="s">
        <v>101</v>
      </c>
      <c r="D89" s="118" t="s">
        <v>102</v>
      </c>
    </row>
    <row r="90" spans="1:4">
      <c r="A90" s="119" t="str">
        <f>РАСХОДИ!C55</f>
        <v>Материјали за посебне намене</v>
      </c>
      <c r="B90" s="120">
        <f>РАСХОДИ!B55</f>
        <v>4269</v>
      </c>
      <c r="C90" s="121"/>
      <c r="D90" s="121">
        <v>830000</v>
      </c>
    </row>
    <row r="91" spans="1:4">
      <c r="A91" s="174" t="s">
        <v>113</v>
      </c>
      <c r="B91" s="174"/>
      <c r="C91" s="122">
        <f>SUM(C90)</f>
        <v>0</v>
      </c>
      <c r="D91" s="122">
        <f>SUM(D90)</f>
        <v>830000</v>
      </c>
    </row>
    <row r="92" spans="1:4">
      <c r="A92" s="123" t="str">
        <f>РАСХОДИ!C46</f>
        <v>Остале специјализоване услуге</v>
      </c>
      <c r="B92" s="120">
        <f>РАСХОДИ!B46</f>
        <v>4249</v>
      </c>
      <c r="C92" s="121">
        <v>830000</v>
      </c>
      <c r="D92" s="121"/>
    </row>
    <row r="93" spans="1:4">
      <c r="A93" s="72" t="s">
        <v>103</v>
      </c>
      <c r="B93" s="61"/>
      <c r="C93" s="60">
        <f>SUM(C92:C92)</f>
        <v>830000</v>
      </c>
      <c r="D93" s="60"/>
    </row>
    <row r="96" spans="1:4" ht="33" customHeight="1">
      <c r="A96" s="179" t="s">
        <v>114</v>
      </c>
      <c r="B96" s="179"/>
      <c r="C96" s="179"/>
      <c r="D96" s="179"/>
    </row>
    <row r="97" spans="1:4">
      <c r="A97" s="114"/>
      <c r="B97" s="114"/>
      <c r="C97" s="115"/>
      <c r="D97" s="115"/>
    </row>
    <row r="98" spans="1:4" ht="15.75">
      <c r="A98" s="116"/>
      <c r="B98" s="172" t="s">
        <v>99</v>
      </c>
      <c r="C98" s="173" t="s">
        <v>100</v>
      </c>
      <c r="D98" s="173"/>
    </row>
    <row r="99" spans="1:4" ht="15.75">
      <c r="A99" s="117" t="s">
        <v>15</v>
      </c>
      <c r="B99" s="172"/>
      <c r="C99" s="118" t="s">
        <v>101</v>
      </c>
      <c r="D99" s="118" t="s">
        <v>102</v>
      </c>
    </row>
    <row r="100" spans="1:4">
      <c r="A100" s="119" t="str">
        <f>ПРИХОДИ!C22</f>
        <v>Приходи од продаје добара и услуга или закупа од стране тржишних организација</v>
      </c>
      <c r="B100" s="120">
        <f>ПРИХОДИ!B22</f>
        <v>7421</v>
      </c>
      <c r="C100" s="121">
        <v>600000</v>
      </c>
      <c r="D100" s="121"/>
    </row>
    <row r="101" spans="1:4">
      <c r="A101" s="119" t="str">
        <f>ПРИХОДИ!C23</f>
        <v>Споредне продаје добара и услуга које врше државне нетржишне јединице</v>
      </c>
      <c r="B101" s="120">
        <f>ПРИХОДИ!B23</f>
        <v>7423</v>
      </c>
      <c r="C101" s="121">
        <f>2140000-600000</f>
        <v>1540000</v>
      </c>
      <c r="D101" s="121"/>
    </row>
    <row r="102" spans="1:4">
      <c r="A102" s="174" t="s">
        <v>106</v>
      </c>
      <c r="B102" s="174"/>
      <c r="C102" s="122">
        <f>SUM(C100:C101)</f>
        <v>2140000</v>
      </c>
      <c r="D102" s="122">
        <f>SUM(D100)</f>
        <v>0</v>
      </c>
    </row>
    <row r="103" spans="1:4">
      <c r="A103" s="123" t="str">
        <f>РАСХОДИ!C18</f>
        <v>Плате, додаци и накнаде запослених</v>
      </c>
      <c r="B103" s="120">
        <f>РАСХОДИ!B18</f>
        <v>4111</v>
      </c>
      <c r="C103" s="121">
        <v>674000</v>
      </c>
      <c r="D103" s="121"/>
    </row>
    <row r="104" spans="1:4">
      <c r="A104" s="123" t="str">
        <f>РАСХОДИ!C19</f>
        <v>Допринос за пензијско и инвалидско осигурање</v>
      </c>
      <c r="B104" s="120">
        <f>РАСХОДИ!B19</f>
        <v>4121</v>
      </c>
      <c r="C104" s="121">
        <v>116000</v>
      </c>
      <c r="D104" s="121"/>
    </row>
    <row r="105" spans="1:4">
      <c r="A105" s="123" t="str">
        <f>РАСХОДИ!C20</f>
        <v>Допринос за здравствено осигурање</v>
      </c>
      <c r="B105" s="120">
        <f>РАСХОДИ!B20</f>
        <v>4122</v>
      </c>
      <c r="C105" s="121">
        <v>12000</v>
      </c>
      <c r="D105" s="121"/>
    </row>
    <row r="106" spans="1:4">
      <c r="A106" s="123" t="str">
        <f>РАСХОДИ!C28</f>
        <v>Трошкови платног промета и банкарских услуга</v>
      </c>
      <c r="B106" s="120">
        <f>РАСХОДИ!B28</f>
        <v>4211</v>
      </c>
      <c r="C106" s="121">
        <v>20000</v>
      </c>
      <c r="D106" s="121"/>
    </row>
    <row r="107" spans="1:4">
      <c r="A107" s="123" t="str">
        <f>РАСХОДИ!C29</f>
        <v>Енергетске услуге</v>
      </c>
      <c r="B107" s="120">
        <f>РАСХОДИ!B29</f>
        <v>4212</v>
      </c>
      <c r="C107" s="121">
        <v>560000</v>
      </c>
      <c r="D107" s="121"/>
    </row>
    <row r="108" spans="1:4">
      <c r="A108" s="123" t="str">
        <f>РАСХОДИ!C30</f>
        <v>Комуналне услуге</v>
      </c>
      <c r="B108" s="120">
        <f>РАСХОДИ!B30</f>
        <v>4213</v>
      </c>
      <c r="C108" s="121">
        <v>60000</v>
      </c>
      <c r="D108" s="121"/>
    </row>
    <row r="109" spans="1:4">
      <c r="A109" s="123" t="str">
        <f>РАСХОДИ!C35</f>
        <v>Трошкови службених путовања у иностранство</v>
      </c>
      <c r="B109" s="120">
        <f>РАСХОДИ!B35</f>
        <v>4222</v>
      </c>
      <c r="C109" s="121">
        <v>380000</v>
      </c>
      <c r="D109" s="121"/>
    </row>
    <row r="110" spans="1:4">
      <c r="A110" s="123" t="str">
        <f>РАСХОДИ!C38</f>
        <v>Услуге образовања и усавршавања запослених</v>
      </c>
      <c r="B110" s="120">
        <f>РАСХОДИ!B38</f>
        <v>4233</v>
      </c>
      <c r="C110" s="121">
        <v>170000</v>
      </c>
      <c r="D110" s="121"/>
    </row>
    <row r="111" spans="1:4">
      <c r="A111" s="123" t="str">
        <f>РАСХОДИ!C41</f>
        <v>Услуге за домаћинство и угоститељство</v>
      </c>
      <c r="B111" s="120">
        <f>РАСХОДИ!B41</f>
        <v>4236</v>
      </c>
      <c r="C111" s="121">
        <v>50000</v>
      </c>
      <c r="D111" s="121"/>
    </row>
    <row r="112" spans="1:4">
      <c r="A112" s="123" t="str">
        <f>РАСХОДИ!C51</f>
        <v>Материјали за саобраћај</v>
      </c>
      <c r="B112" s="120">
        <f>РАСХОДИ!B51</f>
        <v>4264</v>
      </c>
      <c r="C112" s="121">
        <v>2000</v>
      </c>
      <c r="D112" s="121"/>
    </row>
    <row r="113" spans="1:4">
      <c r="A113" s="123" t="str">
        <f>РАСХОДИ!C56</f>
        <v>Негативне курсне разлике</v>
      </c>
      <c r="B113" s="120">
        <f>РАСХОДИ!B56</f>
        <v>4441</v>
      </c>
      <c r="C113" s="121">
        <v>25000</v>
      </c>
      <c r="D113" s="121"/>
    </row>
    <row r="114" spans="1:4">
      <c r="A114" s="123" t="str">
        <f>РАСХОДИ!C60</f>
        <v>Обавезне таксе</v>
      </c>
      <c r="B114" s="120">
        <f>РАСХОДИ!B60</f>
        <v>4822</v>
      </c>
      <c r="C114" s="121">
        <v>71000</v>
      </c>
      <c r="D114" s="121"/>
    </row>
    <row r="115" spans="1:4">
      <c r="A115" s="72" t="s">
        <v>103</v>
      </c>
      <c r="B115" s="61"/>
      <c r="C115" s="60">
        <f>SUM(C103:C114)</f>
        <v>2140000</v>
      </c>
      <c r="D115" s="60"/>
    </row>
    <row r="117" spans="1:4" ht="15.75">
      <c r="A117" s="116"/>
      <c r="B117" s="172" t="s">
        <v>99</v>
      </c>
      <c r="C117" s="173" t="s">
        <v>100</v>
      </c>
      <c r="D117" s="173"/>
    </row>
    <row r="118" spans="1:4" ht="15.75">
      <c r="A118" s="117" t="s">
        <v>15</v>
      </c>
      <c r="B118" s="172"/>
      <c r="C118" s="118" t="s">
        <v>101</v>
      </c>
      <c r="D118" s="118" t="s">
        <v>102</v>
      </c>
    </row>
    <row r="119" spans="1:4">
      <c r="A119" s="119" t="str">
        <f>РАСХОДИ!C43</f>
        <v>Остале опште услуге</v>
      </c>
      <c r="B119" s="120">
        <f>РАСХОДИ!B43</f>
        <v>4239</v>
      </c>
      <c r="C119" s="121"/>
      <c r="D119" s="121">
        <v>100000</v>
      </c>
    </row>
    <row r="120" spans="1:4">
      <c r="A120" s="174" t="s">
        <v>113</v>
      </c>
      <c r="B120" s="174"/>
      <c r="C120" s="122">
        <f>SUM(C119)</f>
        <v>0</v>
      </c>
      <c r="D120" s="122">
        <f>SUM(D119)</f>
        <v>100000</v>
      </c>
    </row>
    <row r="121" spans="1:4">
      <c r="A121" s="123" t="str">
        <f>РАСХОДИ!C42</f>
        <v>Репрезентација</v>
      </c>
      <c r="B121" s="120">
        <f>РАСХОДИ!B42</f>
        <v>4237</v>
      </c>
      <c r="C121" s="121">
        <v>100000</v>
      </c>
      <c r="D121" s="121"/>
    </row>
    <row r="122" spans="1:4">
      <c r="A122" s="98" t="s">
        <v>103</v>
      </c>
      <c r="B122" s="61"/>
      <c r="C122" s="60">
        <f>SUM(C121:C121)</f>
        <v>100000</v>
      </c>
      <c r="D122" s="60"/>
    </row>
  </sheetData>
  <mergeCells count="34">
    <mergeCell ref="A79:B79"/>
    <mergeCell ref="A86:D86"/>
    <mergeCell ref="B52:B53"/>
    <mergeCell ref="C52:D52"/>
    <mergeCell ref="A55:B55"/>
    <mergeCell ref="A102:B102"/>
    <mergeCell ref="A67:D67"/>
    <mergeCell ref="B69:B70"/>
    <mergeCell ref="C69:D69"/>
    <mergeCell ref="A72:B72"/>
    <mergeCell ref="B88:B89"/>
    <mergeCell ref="C88:D88"/>
    <mergeCell ref="A91:B91"/>
    <mergeCell ref="A96:D96"/>
    <mergeCell ref="B98:B99"/>
    <mergeCell ref="C98:D98"/>
    <mergeCell ref="B76:B77"/>
    <mergeCell ref="C76:D76"/>
    <mergeCell ref="B117:B118"/>
    <mergeCell ref="C117:D117"/>
    <mergeCell ref="A120:B120"/>
    <mergeCell ref="A2:D2"/>
    <mergeCell ref="B4:B5"/>
    <mergeCell ref="C4:D4"/>
    <mergeCell ref="A7:B7"/>
    <mergeCell ref="A20:D20"/>
    <mergeCell ref="B22:B23"/>
    <mergeCell ref="C22:D22"/>
    <mergeCell ref="A25:B25"/>
    <mergeCell ref="A38:D38"/>
    <mergeCell ref="B40:B41"/>
    <mergeCell ref="C40:D40"/>
    <mergeCell ref="A43:B43"/>
    <mergeCell ref="A50:D50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55"/>
      <c r="D5" s="5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ПРИХОДИ!Print_Area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2025-12-31T07:12:51Z</dcterms:modified>
</cp:coreProperties>
</file>